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ბაზები - 2023\პროაქტიული ინფორმაცია - 2023\2023 წელი\ასატვირთი\"/>
    </mc:Choice>
  </mc:AlternateContent>
  <xr:revisionPtr revIDLastSave="0" documentId="13_ncr:1_{614847DB-53D2-46E5-ACE0-3455FE267DAD}" xr6:coauthVersionLast="47" xr6:coauthVersionMax="47" xr10:uidLastSave="{00000000-0000-0000-0000-000000000000}"/>
  <bookViews>
    <workbookView xWindow="-120" yWindow="-120" windowWidth="29040" windowHeight="15720" tabRatio="483" xr2:uid="{00000000-000D-0000-FFFF-FFFF00000000}"/>
  </bookViews>
  <sheets>
    <sheet name="ბიუჯეტი" sheetId="142" r:id="rId1"/>
    <sheet name="საკუთარი" sheetId="143" r:id="rId2"/>
    <sheet name="გრანტი" sheetId="144" r:id="rId3"/>
    <sheet name="გრანტი (BTC Co)" sheetId="145" r:id="rId4"/>
  </sheets>
  <definedNames>
    <definedName name="_xlnm.Print_Area" localSheetId="0">ბიუჯეტი!$A$2:$H$111</definedName>
    <definedName name="_xlnm.Print_Area" localSheetId="3">'გრანტი (BTC Co)'!$A$1:$H$24</definedName>
    <definedName name="_xlnm.Print_Area" localSheetId="1">საკუთარი!$A$1:$I$128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45" l="1"/>
  <c r="D12" i="145"/>
  <c r="A9" i="145"/>
  <c r="D35" i="144" l="1"/>
  <c r="D25" i="144"/>
  <c r="D22" i="144"/>
  <c r="D19" i="144"/>
  <c r="D16" i="144"/>
  <c r="D14" i="144"/>
  <c r="D12" i="144"/>
  <c r="D37" i="144" s="1"/>
  <c r="D115" i="143" l="1"/>
  <c r="D114" i="143"/>
  <c r="D112" i="143"/>
  <c r="D110" i="143"/>
  <c r="D109" i="143"/>
  <c r="D107" i="143"/>
  <c r="D106" i="143"/>
  <c r="D105" i="143"/>
  <c r="D104" i="143"/>
  <c r="D100" i="143"/>
  <c r="D99" i="143"/>
  <c r="D98" i="143"/>
  <c r="D94" i="143"/>
  <c r="D91" i="143"/>
  <c r="D90" i="143"/>
  <c r="D87" i="143"/>
  <c r="D85" i="143"/>
  <c r="D83" i="143"/>
  <c r="D82" i="143"/>
  <c r="D80" i="143"/>
  <c r="D79" i="143"/>
  <c r="D78" i="143"/>
  <c r="D77" i="143"/>
  <c r="D76" i="143"/>
  <c r="D75" i="143"/>
  <c r="D74" i="143"/>
  <c r="D73" i="143"/>
  <c r="D69" i="143"/>
  <c r="D66" i="143"/>
  <c r="D65" i="143"/>
  <c r="D64" i="143"/>
  <c r="D63" i="143"/>
  <c r="D61" i="143"/>
  <c r="D60" i="143"/>
  <c r="D58" i="143"/>
  <c r="D57" i="143"/>
  <c r="D56" i="143"/>
  <c r="D55" i="143"/>
  <c r="D54" i="143"/>
  <c r="D53" i="143"/>
  <c r="D49" i="143"/>
  <c r="D47" i="143"/>
  <c r="D45" i="143"/>
  <c r="D44" i="143"/>
  <c r="D43" i="143"/>
  <c r="D39" i="143"/>
  <c r="D38" i="143"/>
  <c r="D37" i="143"/>
  <c r="D35" i="143"/>
  <c r="D33" i="143"/>
  <c r="D31" i="143"/>
  <c r="D30" i="143"/>
  <c r="D29" i="143"/>
  <c r="D26" i="143"/>
  <c r="D24" i="143"/>
  <c r="D23" i="143"/>
  <c r="D22" i="143"/>
  <c r="D18" i="143"/>
  <c r="D17" i="143"/>
  <c r="D14" i="143"/>
  <c r="D13" i="143"/>
  <c r="A9" i="143"/>
  <c r="A9" i="142" l="1"/>
  <c r="D82" i="142"/>
  <c r="D103" i="142" l="1"/>
  <c r="D100" i="142"/>
  <c r="D98" i="142"/>
  <c r="D97" i="142"/>
  <c r="D96" i="142"/>
  <c r="D92" i="142"/>
  <c r="D91" i="142"/>
  <c r="D89" i="142"/>
  <c r="D88" i="142"/>
  <c r="D87" i="142"/>
  <c r="D86" i="142"/>
  <c r="D79" i="142"/>
  <c r="D77" i="142"/>
  <c r="D75" i="142"/>
  <c r="D74" i="142"/>
  <c r="D69" i="142"/>
  <c r="D70" i="142"/>
  <c r="D68" i="142"/>
  <c r="D67" i="142"/>
  <c r="D65" i="142"/>
  <c r="D64" i="142"/>
  <c r="D57" i="142"/>
  <c r="D56" i="142"/>
  <c r="D54" i="142"/>
  <c r="D52" i="142" l="1"/>
  <c r="D51" i="142"/>
  <c r="D46" i="142" l="1"/>
  <c r="D45" i="142"/>
  <c r="D44" i="142"/>
  <c r="D40" i="142"/>
  <c r="D39" i="142"/>
  <c r="D38" i="142"/>
  <c r="D37" i="142"/>
  <c r="D35" i="142"/>
  <c r="D27" i="142"/>
  <c r="D21" i="142"/>
  <c r="D20" i="142"/>
  <c r="D19" i="142"/>
  <c r="D14" i="142"/>
  <c r="D13" i="142"/>
  <c r="D12" i="142"/>
  <c r="D95" i="142" l="1"/>
  <c r="D101" i="142" l="1"/>
  <c r="D94" i="142"/>
  <c r="D59" i="142"/>
  <c r="D26" i="142"/>
  <c r="D62" i="142"/>
  <c r="D63" i="142"/>
  <c r="D78" i="142"/>
  <c r="D72" i="142"/>
  <c r="D50" i="142"/>
  <c r="D43" i="142"/>
  <c r="D16" i="142" l="1"/>
  <c r="D15" i="142"/>
  <c r="D32" i="142" l="1"/>
  <c r="D28" i="142"/>
  <c r="D55" i="142" l="1"/>
  <c r="D17" i="142"/>
  <c r="D66" i="142" l="1"/>
  <c r="D25" i="142"/>
  <c r="D48" i="142" l="1"/>
  <c r="D49" i="142"/>
  <c r="D42" i="142" l="1"/>
  <c r="D60" i="142" l="1"/>
  <c r="D71" i="142"/>
  <c r="D76" i="142" l="1"/>
  <c r="D53" i="142" l="1"/>
  <c r="D29" i="142" l="1"/>
  <c r="D41" i="142" l="1"/>
  <c r="D73" i="142" l="1"/>
  <c r="D99" i="142" l="1"/>
  <c r="D36" i="142" l="1"/>
  <c r="D90" i="142" l="1"/>
</calcChain>
</file>

<file path=xl/sharedStrings.xml><?xml version="1.0" encoding="utf-8"?>
<sst xmlns="http://schemas.openxmlformats.org/spreadsheetml/2006/main" count="971" uniqueCount="167">
  <si>
    <t>SeniSvna</t>
  </si>
  <si>
    <t>#</t>
  </si>
  <si>
    <t>danayofis kodi</t>
  </si>
  <si>
    <t>danayofis dasaxeleba</t>
  </si>
  <si>
    <t>Sesyidvis saSualeba</t>
  </si>
  <si>
    <t>Sesyidvebis dawyebis savaraudo vadebi</t>
  </si>
  <si>
    <t>Sesyidvis obieqtis miwodebis savaraudo vada</t>
  </si>
  <si>
    <t>2. Semsyidveli organizaciis saidentifikacio kodi</t>
  </si>
  <si>
    <t>3. Semsyidveli organizaciis dasaxeleba</t>
  </si>
  <si>
    <t>(xelmowera)</t>
  </si>
  <si>
    <t>g.S</t>
  </si>
  <si>
    <t>aveji</t>
  </si>
  <si>
    <t>I kv</t>
  </si>
  <si>
    <t>konsolidirebuli tenderi</t>
  </si>
  <si>
    <t>k.t</t>
  </si>
  <si>
    <t>5. saxelmwifo Sesyidvebis gegmiT gaTvaliswinebuli jamuri Tanxa dafinansebis wyaros Sesabamisad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</si>
  <si>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"d" qvepunqti</t>
    </r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</si>
  <si>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"z" qvepunqti</t>
    </r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</si>
  <si>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"a" qvepunqti</t>
    </r>
  </si>
  <si>
    <t>saxmeleTo, wylisa da sahaero transportis damxmare momsaxurebebi</t>
  </si>
  <si>
    <t>saagentos ufrosi an uflebamosili piri</t>
  </si>
  <si>
    <t>ssip erovnuli satyeo saagento</t>
  </si>
  <si>
    <t xml:space="preserve">saofise manqana-danadgarebi, aRWurviloba da sakancelario nivTebi, kompiuterebis, printerebisa da avejis garda </t>
  </si>
  <si>
    <t>satransporto saSualebebisa da maTTan dakavSirebuli mowyobilobebis SekeTeba, teqnikuri momsaxureba da masTan dakavSirebuli momsaxurebebi</t>
  </si>
  <si>
    <t>I-IV kv</t>
  </si>
  <si>
    <t>e.t</t>
  </si>
  <si>
    <t xml:space="preserve">             saxelmwifo Sesyidvebis wliuri gegmis forma</t>
  </si>
  <si>
    <t>satyeo meurneobasTan dakavSirebuli momsaxurbebi</t>
  </si>
  <si>
    <t>gamoZiebasa da usafrTxoebasTan dakavSirebuli momsaxurebebi</t>
  </si>
  <si>
    <t xml:space="preserve">akumulatorebi, denis pirveladi wyaroebi da pirveladi elementebi </t>
  </si>
  <si>
    <t xml:space="preserve">internetmomsaxurebebi </t>
  </si>
  <si>
    <t>radio da satelevizio momsaxurebebi</t>
  </si>
  <si>
    <t>Gg.S</t>
  </si>
  <si>
    <t>sadazRvevo da sapensio momsaxurebebi</t>
  </si>
  <si>
    <t>091 00000</t>
  </si>
  <si>
    <t xml:space="preserve">sawvavi  </t>
  </si>
  <si>
    <t>nawilebi da aqsesuarebi satransporto saSualebebisa da maTi ZravebisTvis</t>
  </si>
  <si>
    <t>biblioTekebis, arqivebis, muzeumebisa da sxva kulturuli dawesebulebebis momsaxurebebi</t>
  </si>
  <si>
    <t>savaraudo Rirebuleba</t>
  </si>
  <si>
    <t xml:space="preserve">satelekomunikacio momsaxurebebi </t>
  </si>
  <si>
    <t xml:space="preserve">              danarTi #2</t>
  </si>
  <si>
    <t xml:space="preserve">personaluri kompiuterebis, saofise aparaturis, satelekomunikacio da audiovizualuri mowyobilobebis SekeTeba, teqnikuri momsaxureba da maTTan dakavSirebuli momsaxurebebi </t>
  </si>
  <si>
    <t>sxvadasxva qarxnuli warmoebis masala da maTTan dakavSirebuli sagnebi</t>
  </si>
  <si>
    <t>qselebi</t>
  </si>
  <si>
    <t>Senobis mowyobilobebis SekeTeba da teqnikuri momsaxureba</t>
  </si>
  <si>
    <t xml:space="preserve">tvirTis gadazidvisa da Senaxvis momsaxurebebi </t>
  </si>
  <si>
    <t>administraciuli momsaxureba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</si>
  <si>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"T" qvepunqti</t>
    </r>
  </si>
  <si>
    <t>axali ambebis saagentoebis momsaxurebebi</t>
  </si>
  <si>
    <t>092 00000</t>
  </si>
  <si>
    <t>navTobi, qvanaxSiri da navTobproduqtebi</t>
  </si>
  <si>
    <t>sxvadasxva zogadi da specialuri daniSnulebis manqana-danadgarebi</t>
  </si>
  <si>
    <t>avejis aqsesuarebi</t>
  </si>
  <si>
    <t>dasufTaveba da sanitariuli momsaxureba</t>
  </si>
  <si>
    <t xml:space="preserve">finansuri departamentis, Sesyidvebis sammarTvelos ufrosi                                                                                        </t>
  </si>
  <si>
    <t>samkaulebi, saaTebi da monaTesave nivTebi</t>
  </si>
  <si>
    <t xml:space="preserve">programuli uzrunvelyofis SemuSaveba da sakonsultacio momsaxurebebi </t>
  </si>
  <si>
    <t>monacemTa bazisa da operaciuli programuli paketebi</t>
  </si>
  <si>
    <t>markebi, Cekebis wignakebi, banknotebi, aqciebi, sareklamo masala, katalogebi  da saxelmZRvaneloebi</t>
  </si>
  <si>
    <t>radiotelefoniis, radiosatelegrafo, radio da telemauwyeblobis aparatura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</si>
  <si>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"v" qvepunqti</t>
    </r>
  </si>
  <si>
    <t>sxvadasxva sakvebi produqtebi</t>
  </si>
  <si>
    <t>sasmelebi, Tambaqo da monaTesave produqtebi</t>
  </si>
  <si>
    <t>kanonis  me-10¹ muxlis me-3 punqtis "z" qvepunqti</t>
  </si>
  <si>
    <t>qselebis, internetisa da intranetis programuli paketebi</t>
  </si>
  <si>
    <t>mTliani an nawilobrivi samSeneblo samuSaoebi da samoqalaqo mSeneblobis samuSaoebi</t>
  </si>
  <si>
    <t>specialuri tansacmeli da aqsesuarebi</t>
  </si>
  <si>
    <t>iaraRi, sabrZolo masala da aqsesuarebi (Tanmdevi nawilebi)</t>
  </si>
  <si>
    <t>erToblivi tenderi</t>
  </si>
  <si>
    <t xml:space="preserve">sagangebo situaciebis dros gamosayenebeli mowyobilobebi da usafrTxoebis saSualebebi </t>
  </si>
  <si>
    <r>
      <t xml:space="preserve">4. dafinansebis wyaro                                                 </t>
    </r>
    <r>
      <rPr>
        <b/>
        <sz val="9"/>
        <rFont val="AcadNusx"/>
      </rPr>
      <t>saxelmwifo biujeti</t>
    </r>
  </si>
  <si>
    <t>safosto da sakuriero momsaxurebebi</t>
  </si>
  <si>
    <t>Senobis dasrulebis samuSaoebi</t>
  </si>
  <si>
    <t>samSeneblo-samontaJo samuSaoebi</t>
  </si>
  <si>
    <t>gasanaTebeli mowyobilobebi da eleqtronaTurebi</t>
  </si>
  <si>
    <t>sxvadasxva komerciuli momsaxureba da masTan dakavSirebuli momsaxurebebi</t>
  </si>
  <si>
    <t xml:space="preserve">restornebisa da kvebis sawarmoebis momsaxureobebi </t>
  </si>
  <si>
    <t>eleqtroZravebi, generatorebi da transformatorebi</t>
  </si>
  <si>
    <t>satelekomunikacio mowyobilobebi da aqsesuarebi</t>
  </si>
  <si>
    <t>ofisis muSaobis uzrunvelyofasTan dakavSirebuli momsaxurebebi</t>
  </si>
  <si>
    <t>gamagrilebeli da saventilacio mowyobilobebi</t>
  </si>
  <si>
    <t>avtosatransporto saualebebi</t>
  </si>
  <si>
    <t>miwis saTxreli da saxapavi manqanebi da maTi (maTTan dakavSirebuli) nawilebi</t>
  </si>
  <si>
    <t>ompiuteruli mowyobilobebi da aqsesuarebi</t>
  </si>
  <si>
    <t>danadgarebi meqanikuri energiis warmoebisa da gamoyenebisTvis</t>
  </si>
  <si>
    <t>garedan Casacmeli tansacmeli</t>
  </si>
  <si>
    <t>tansacmeli</t>
  </si>
  <si>
    <t>fexsacmeli</t>
  </si>
  <si>
    <t>sportuli saqoneli da aRWurviloba - (inventari)</t>
  </si>
  <si>
    <t>034 00000</t>
  </si>
  <si>
    <t>metyeveobisa da tyekafvis produqtebi</t>
  </si>
  <si>
    <t>sasoflo-sameurneo da satyeo daniSnulebis manqana-danadgarebis nawilebi</t>
  </si>
  <si>
    <t>gazis ganawileba da masaTan dakavSirebuli momsaxurebebi</t>
  </si>
  <si>
    <t>sainJinro momsaxurebebi</t>
  </si>
  <si>
    <t>II kv</t>
  </si>
  <si>
    <t>II-IV kv</t>
  </si>
  <si>
    <t>arqiteqturuli da masTan dakavSirebuli momsaxurebebi</t>
  </si>
  <si>
    <t>soflis meurneobasTan dakavSirebuli momsaxurebebi</t>
  </si>
  <si>
    <t>sasuqebi da nitrogenuli naerTebi</t>
  </si>
  <si>
    <t>III kv</t>
  </si>
  <si>
    <t>III-IV kv</t>
  </si>
  <si>
    <t>sazogadoebisaTvis momsaxurebebis gaweva</t>
  </si>
  <si>
    <t>struqturuli masalebi</t>
  </si>
  <si>
    <r>
      <t xml:space="preserve">1. Sedgenis TariRi                                                                            </t>
    </r>
    <r>
      <rPr>
        <b/>
        <sz val="9"/>
        <rFont val="AcadNusx"/>
      </rPr>
      <t xml:space="preserve">        
06 dekemberi 2023 weli</t>
    </r>
  </si>
  <si>
    <t>IV kv</t>
  </si>
  <si>
    <t>tyavis, teqstilis, rezinisa da plastmasis narCeni</t>
  </si>
  <si>
    <t>izolirebuli mavTuli da kabeli</t>
  </si>
  <si>
    <t>Carxebi</t>
  </si>
  <si>
    <t xml:space="preserve">               danarTi #1</t>
  </si>
  <si>
    <r>
      <t xml:space="preserve">1. Sedgenis TariRi                                                                            </t>
    </r>
    <r>
      <rPr>
        <b/>
        <sz val="9"/>
        <rFont val="AcadNusx"/>
      </rPr>
      <t xml:space="preserve">                06 dekemberi 2023 weli</t>
    </r>
  </si>
  <si>
    <r>
      <t xml:space="preserve">4. dafinansebis wyaro                                                                                </t>
    </r>
    <r>
      <rPr>
        <b/>
        <sz val="9"/>
        <rFont val="AcadNusx"/>
      </rPr>
      <t>sakuTari saxsrebi</t>
    </r>
  </si>
  <si>
    <t>09200000</t>
  </si>
  <si>
    <t>093 00000</t>
  </si>
  <si>
    <t>eleqtroenergia, gaTboba, mzisa da birTvuli energia</t>
  </si>
  <si>
    <t>mosavlis asaRebi manqanebi</t>
  </si>
  <si>
    <t>samuSao tansacmeli, spectansacmeli da aqsesuarebi</t>
  </si>
  <si>
    <t>sabargo nivTebi, sasarajo nakeTobebi, tomrebi da CanTebi</t>
  </si>
  <si>
    <t>teqstilis narTi da Zafi</t>
  </si>
  <si>
    <t>nabeWdi wignebi, broSurebi da sainformacio furclebi</t>
  </si>
  <si>
    <t xml:space="preserve">qaRaldis an muyaos saregistracio Jurnalebi/wignebi, sabuRaltro wignebi, formebi da sxva nabeWdi sakancelario nivTebi </t>
  </si>
  <si>
    <t xml:space="preserve"> sxvadasxva nabeWdi masala</t>
  </si>
  <si>
    <t>kompiuteruli mowyobilobebi da aqsesuarebi</t>
  </si>
  <si>
    <t>eleqtroenergiis gamanawilebeli da sakontrolo aparatura</t>
  </si>
  <si>
    <t>tele da radiosignalis mimRebebi da audio an videogamosaxulebis Camweri an aRwarmoebis aparatura</t>
  </si>
  <si>
    <t>motocikletebi, velosipedebi da motocikletis etlebi</t>
  </si>
  <si>
    <t>sxvadasxva satransporto mowyobiloba da saTadarigo nawilebi</t>
  </si>
  <si>
    <t>samxedro sahaero xomaldebi/TviTmfrinavebi, raketebi da kosmosuri xomaldebi</t>
  </si>
  <si>
    <t>individualuri da damxmare mowyobilobebi</t>
  </si>
  <si>
    <t>sanavigacio da meteorologiuri xelsawyoebi</t>
  </si>
  <si>
    <t>sakontrolo da gamosacdeli aparatura</t>
  </si>
  <si>
    <t>optikuri xelsawyoebi</t>
  </si>
  <si>
    <t>qsovilis nivTebi</t>
  </si>
  <si>
    <t>saojaxo teqnika</t>
  </si>
  <si>
    <t>bunebrivi wyali</t>
  </si>
  <si>
    <t>amwe da gadasazidi mowyobilobebi da maTi nawilebi</t>
  </si>
  <si>
    <t>saamqros danadgarebi</t>
  </si>
  <si>
    <t xml:space="preserve">samSeneblo masalebi da damxmare samSeneblo masalebi </t>
  </si>
  <si>
    <t>kabelebi, mavTulebi da maTTan dakavSirebuli masalebi</t>
  </si>
  <si>
    <t>xelsawyoebi, saketebi, gasaRebebi, anjamebi, damWerebi, Wajvebi da zambarebi/resorebi</t>
  </si>
  <si>
    <t>avzebi, rezervuarebi da konteinerebi; centraluri gaTbobis radiatorebi da boilerebi</t>
  </si>
  <si>
    <t>saRebavebi, laqebi da mastikebi</t>
  </si>
  <si>
    <t>saqmiani garigebebisa da piradi saqmeebis marTvis programuli paketebi</t>
  </si>
  <si>
    <t>tumboebis, sarqvelebis, onkanebisa da liTonis konteinerebis, aseve, manqana-danadgarebis SekeTeba da teqnikuri momsaxureba</t>
  </si>
  <si>
    <t>teqnikuri Semowmeba, analizi da sakonsultacio momsaxurebebi</t>
  </si>
  <si>
    <t>laboratoriuli momsaxurebebi</t>
  </si>
  <si>
    <t xml:space="preserve"> bazris kvleva da ekonomikuri kvleva; gamokiTxvebi da statistika</t>
  </si>
  <si>
    <t>biznessa da menejmentTan dakavSirebuli konsultaciebi da momsaxurebebi</t>
  </si>
  <si>
    <t xml:space="preserve"> beWdva da masTan dakavSirebuli momsaxurebebi</t>
  </si>
  <si>
    <t>satreningo momsaxurebebi</t>
  </si>
  <si>
    <t>sxvadasxva momsaxureba</t>
  </si>
  <si>
    <t xml:space="preserve">finansuri departamentis, Sesyidvebis sammarTvelos ufrosi                                                                                     </t>
  </si>
  <si>
    <t xml:space="preserve">                  danarTi #4</t>
  </si>
  <si>
    <t xml:space="preserve">             saxelmwifo Sesyidvebis wliuri gegmis forma </t>
  </si>
  <si>
    <r>
      <t xml:space="preserve">1. Sedgenis TariRi                                                                            </t>
    </r>
    <r>
      <rPr>
        <b/>
        <sz val="9"/>
        <rFont val="AcadNusx"/>
      </rPr>
      <t xml:space="preserve">              08 agvisto 2023 weli</t>
    </r>
  </si>
  <si>
    <r>
      <t xml:space="preserve">4. dafinansebis wyaro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cadNusx"/>
      </rPr>
      <t xml:space="preserve">granti </t>
    </r>
    <r>
      <rPr>
        <b/>
        <sz val="9"/>
        <rFont val="Sylfaen"/>
        <family val="1"/>
      </rPr>
      <t xml:space="preserve"> (GIZ) (GCF)      </t>
    </r>
    <r>
      <rPr>
        <b/>
        <sz val="9"/>
        <rFont val="AcadNusx"/>
      </rPr>
      <t xml:space="preserve">                                                                                       </t>
    </r>
  </si>
  <si>
    <t>ssip - erovnuli satyeo saagento</t>
  </si>
  <si>
    <t>sazomi xelsawyoebi</t>
  </si>
  <si>
    <t>samSeneblo manqanebi da mowyobilobebi</t>
  </si>
  <si>
    <t>sastumros momsaxureba</t>
  </si>
  <si>
    <t>saavtomobilo transportis momsaxurebebi</t>
  </si>
  <si>
    <t>sabanko da sainvesticio momsaxurebebi</t>
  </si>
  <si>
    <t>momsaxurebebi kvlevisa da eqsperimentuli ganviTarebis sferoSi</t>
  </si>
  <si>
    <t>sabuRaltro, auditoruli da fiskaluri momsaxurebebi</t>
  </si>
  <si>
    <t xml:space="preserve">finansuri departamentis, Sesyidvebis sammarTvelos ufrosi                                                                                                 </t>
  </si>
  <si>
    <t xml:space="preserve">                  danarTi #3</t>
  </si>
  <si>
    <r>
      <t xml:space="preserve">1. Sedgenis TariRi                                                                            </t>
    </r>
    <r>
      <rPr>
        <b/>
        <sz val="9"/>
        <rFont val="AcadNusx"/>
      </rPr>
      <t xml:space="preserve">                 08 agvisto 2023 weli</t>
    </r>
  </si>
  <si>
    <r>
      <t xml:space="preserve">4. dafinansebis wyaro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cadNusx"/>
      </rPr>
      <t>granti (</t>
    </r>
    <r>
      <rPr>
        <b/>
        <sz val="9"/>
        <rFont val="Times New Roman"/>
        <family val="1"/>
      </rPr>
      <t>BTC Co</t>
    </r>
    <r>
      <rPr>
        <b/>
        <sz val="9"/>
        <rFont val="AcadNusx"/>
      </rPr>
      <t>) (</t>
    </r>
    <r>
      <rPr>
        <b/>
        <sz val="9"/>
        <rFont val="Times New Roman"/>
        <family val="1"/>
      </rPr>
      <t>SCP Co</t>
    </r>
    <r>
      <rPr>
        <b/>
        <sz val="9"/>
        <rFont val="AcadNusx"/>
      </rPr>
      <t>)                                                                                  (xelSekrulebis # 32) (registraciis #1254)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</si>
</sst>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"/>
  </numFmts>
  <fonts count="35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cadNusx"/>
    </font>
    <font>
      <sz val="10"/>
      <name val="AcadNusx"/>
    </font>
    <font>
      <sz val="7"/>
      <name val="AcadNusx"/>
    </font>
    <font>
      <sz val="6"/>
      <name val="AcadNusx"/>
    </font>
    <font>
      <sz val="9"/>
      <name val="AcadNusx"/>
    </font>
    <font>
      <sz val="8"/>
      <name val="AcadNusx"/>
    </font>
    <font>
      <sz val="10"/>
      <color rgb="FFFF0000"/>
      <name val="AcadNusx"/>
    </font>
    <font>
      <b/>
      <sz val="8"/>
      <name val="AcadNusx"/>
    </font>
    <font>
      <sz val="7"/>
      <name val="Calibri"/>
      <family val="2"/>
      <charset val="204"/>
    </font>
    <font>
      <sz val="10"/>
      <name val="Arial"/>
      <family val="2"/>
    </font>
    <font>
      <sz val="6"/>
      <color rgb="FFFF0000"/>
      <name val="AcadNusx"/>
    </font>
    <font>
      <sz val="8"/>
      <color rgb="FFFF0000"/>
      <name val="AcadNusx"/>
    </font>
    <font>
      <b/>
      <i/>
      <sz val="9"/>
      <name val="AcadNusx"/>
    </font>
    <font>
      <b/>
      <sz val="9"/>
      <name val="AcadNusx"/>
    </font>
    <font>
      <sz val="9"/>
      <name val="Arial"/>
      <family val="2"/>
    </font>
    <font>
      <b/>
      <sz val="10"/>
      <color rgb="FFFF0000"/>
      <name val="AcadNusx"/>
    </font>
    <font>
      <b/>
      <sz val="9"/>
      <color rgb="FF00B050"/>
      <name val="AcadNusx"/>
    </font>
    <font>
      <b/>
      <sz val="9"/>
      <color rgb="FFFF0000"/>
      <name val="AcadNusx"/>
    </font>
    <font>
      <b/>
      <sz val="7"/>
      <color rgb="FF0070C0"/>
      <name val="AcadNusx"/>
    </font>
    <font>
      <b/>
      <sz val="7"/>
      <name val="AcadNusx"/>
    </font>
    <font>
      <b/>
      <sz val="12"/>
      <name val="AcadNusx"/>
    </font>
    <font>
      <b/>
      <sz val="10"/>
      <color rgb="FF00B050"/>
      <name val="AcadNusx"/>
    </font>
    <font>
      <sz val="10"/>
      <color rgb="FF00B050"/>
      <name val="AcadNusx"/>
    </font>
    <font>
      <b/>
      <sz val="8"/>
      <color rgb="FF0070C0"/>
      <name val="AcadNusx"/>
    </font>
    <font>
      <b/>
      <sz val="11"/>
      <name val="AcadNusx"/>
    </font>
    <font>
      <sz val="11"/>
      <name val="AcadNusx"/>
    </font>
    <font>
      <sz val="9"/>
      <color theme="1"/>
      <name val="AcadNusx"/>
    </font>
    <font>
      <sz val="8"/>
      <name val="Times New Roman"/>
      <family val="1"/>
      <charset val="204"/>
    </font>
    <font>
      <b/>
      <sz val="9"/>
      <name val="Sylfaen"/>
      <family val="1"/>
    </font>
    <font>
      <sz val="8"/>
      <color rgb="FFFF0000"/>
      <name val="Times New Roman"/>
      <family val="1"/>
      <charset val="204"/>
    </font>
    <font>
      <b/>
      <sz val="10"/>
      <color rgb="FF0070C0"/>
      <name val="AcadNusx"/>
    </font>
    <font>
      <b/>
      <sz val="9"/>
      <name val="Times New Roman"/>
      <family val="1"/>
    </font>
    <font>
      <sz val="7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42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vertical="center" wrapText="1"/>
    </xf>
    <xf numFmtId="164" fontId="7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" fontId="2" fillId="0" borderId="0" xfId="1" applyNumberFormat="1" applyFont="1" applyFill="1" applyAlignment="1">
      <alignment horizontal="center" vertical="center" wrapText="1"/>
    </xf>
    <xf numFmtId="1" fontId="17" fillId="0" borderId="0" xfId="0" applyNumberFormat="1" applyFont="1" applyFill="1" applyAlignment="1">
      <alignment horizontal="center" vertical="center" wrapText="1"/>
    </xf>
    <xf numFmtId="1" fontId="3" fillId="0" borderId="0" xfId="1" applyNumberFormat="1" applyFont="1" applyFill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26" fillId="0" borderId="0" xfId="1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22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3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" fontId="19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1" fontId="19" fillId="2" borderId="1" xfId="1" applyNumberFormat="1" applyFont="1" applyFill="1" applyBorder="1" applyAlignment="1">
      <alignment horizontal="center" vertical="center"/>
    </xf>
    <xf numFmtId="2" fontId="19" fillId="2" borderId="1" xfId="1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 wrapText="1"/>
    </xf>
    <xf numFmtId="1" fontId="28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26" fillId="0" borderId="3" xfId="0" applyNumberFormat="1" applyFont="1" applyFill="1" applyBorder="1" applyAlignment="1">
      <alignment horizontal="center" vertical="center" wrapText="1"/>
    </xf>
    <xf numFmtId="1" fontId="27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105</xdr:row>
      <xdr:rowOff>0</xdr:rowOff>
    </xdr:from>
    <xdr:to>
      <xdr:col>5</xdr:col>
      <xdr:colOff>981075</xdr:colOff>
      <xdr:row>105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305175" y="18507075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108</xdr:row>
      <xdr:rowOff>9525</xdr:rowOff>
    </xdr:from>
    <xdr:to>
      <xdr:col>5</xdr:col>
      <xdr:colOff>981075</xdr:colOff>
      <xdr:row>108</xdr:row>
      <xdr:rowOff>9525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3314700" y="19450050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105</xdr:row>
      <xdr:rowOff>9525</xdr:rowOff>
    </xdr:from>
    <xdr:to>
      <xdr:col>5</xdr:col>
      <xdr:colOff>971550</xdr:colOff>
      <xdr:row>105</xdr:row>
      <xdr:rowOff>9525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3314700" y="18516600"/>
          <a:ext cx="1371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119</xdr:row>
      <xdr:rowOff>0</xdr:rowOff>
    </xdr:from>
    <xdr:to>
      <xdr:col>5</xdr:col>
      <xdr:colOff>981075</xdr:colOff>
      <xdr:row>119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4505325" y="5079682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124</xdr:row>
      <xdr:rowOff>9525</xdr:rowOff>
    </xdr:from>
    <xdr:to>
      <xdr:col>5</xdr:col>
      <xdr:colOff>981075</xdr:colOff>
      <xdr:row>124</xdr:row>
      <xdr:rowOff>9525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4505325" y="5174932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119</xdr:row>
      <xdr:rowOff>9525</xdr:rowOff>
    </xdr:from>
    <xdr:to>
      <xdr:col>5</xdr:col>
      <xdr:colOff>971550</xdr:colOff>
      <xdr:row>119</xdr:row>
      <xdr:rowOff>9525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4505325" y="50806350"/>
          <a:ext cx="23145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39</xdr:row>
      <xdr:rowOff>0</xdr:rowOff>
    </xdr:from>
    <xdr:to>
      <xdr:col>5</xdr:col>
      <xdr:colOff>981075</xdr:colOff>
      <xdr:row>39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5124450" y="13792200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44</xdr:row>
      <xdr:rowOff>9525</xdr:rowOff>
    </xdr:from>
    <xdr:to>
      <xdr:col>5</xdr:col>
      <xdr:colOff>981075</xdr:colOff>
      <xdr:row>44</xdr:row>
      <xdr:rowOff>9525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V="1">
          <a:off x="5133975" y="150685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39</xdr:row>
      <xdr:rowOff>9525</xdr:rowOff>
    </xdr:from>
    <xdr:to>
      <xdr:col>5</xdr:col>
      <xdr:colOff>971550</xdr:colOff>
      <xdr:row>39</xdr:row>
      <xdr:rowOff>9525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V="1">
          <a:off x="5133975" y="13801725"/>
          <a:ext cx="1628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18</xdr:row>
      <xdr:rowOff>0</xdr:rowOff>
    </xdr:from>
    <xdr:to>
      <xdr:col>5</xdr:col>
      <xdr:colOff>981075</xdr:colOff>
      <xdr:row>18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5124450" y="59340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9525</xdr:rowOff>
    </xdr:from>
    <xdr:to>
      <xdr:col>5</xdr:col>
      <xdr:colOff>981075</xdr:colOff>
      <xdr:row>23</xdr:row>
      <xdr:rowOff>9525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V="1">
          <a:off x="5133975" y="721042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9525</xdr:rowOff>
    </xdr:from>
    <xdr:to>
      <xdr:col>5</xdr:col>
      <xdr:colOff>971550</xdr:colOff>
      <xdr:row>18</xdr:row>
      <xdr:rowOff>9525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5133975" y="5943600"/>
          <a:ext cx="1628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9"/>
  <sheetViews>
    <sheetView tabSelected="1" view="pageBreakPreview" zoomScale="120" zoomScaleNormal="145" zoomScaleSheetLayoutView="120" workbookViewId="0">
      <selection activeCell="H10" sqref="H10"/>
    </sheetView>
  </sheetViews>
  <sheetFormatPr defaultRowHeight="13.5" x14ac:dyDescent="0.2"/>
  <cols>
    <col min="1" max="1" width="3.85546875" style="51" customWidth="1"/>
    <col min="2" max="2" width="10" style="51" customWidth="1"/>
    <col min="3" max="3" width="55.5703125" style="30" customWidth="1"/>
    <col min="4" max="4" width="11.42578125" style="3" customWidth="1"/>
    <col min="5" max="5" width="10.42578125" style="30" customWidth="1"/>
    <col min="6" max="6" width="11.28515625" style="30" customWidth="1"/>
    <col min="7" max="7" width="11.7109375" style="30" customWidth="1"/>
    <col min="8" max="8" width="37.140625" style="30" customWidth="1"/>
    <col min="9" max="9" width="20.85546875" style="6" customWidth="1"/>
    <col min="10" max="10" width="9.140625" style="30"/>
    <col min="11" max="16384" width="9.140625" style="2"/>
  </cols>
  <sheetData>
    <row r="1" spans="1:10" ht="6" customHeight="1" x14ac:dyDescent="0.2"/>
    <row r="2" spans="1:10" s="10" customFormat="1" ht="23.25" customHeight="1" x14ac:dyDescent="0.2">
      <c r="A2" s="30"/>
      <c r="B2" s="30"/>
      <c r="C2" s="30"/>
      <c r="D2" s="3"/>
      <c r="E2" s="30"/>
      <c r="F2" s="30"/>
      <c r="G2" s="30"/>
      <c r="H2" s="17" t="s">
        <v>40</v>
      </c>
      <c r="I2" s="8"/>
      <c r="J2" s="8"/>
    </row>
    <row r="3" spans="1:10" s="10" customFormat="1" ht="20.25" customHeight="1" x14ac:dyDescent="0.2">
      <c r="A3" s="30"/>
      <c r="B3" s="30"/>
      <c r="C3" s="105" t="s">
        <v>26</v>
      </c>
      <c r="D3" s="105"/>
      <c r="E3" s="105"/>
      <c r="F3" s="105"/>
      <c r="G3" s="105"/>
      <c r="H3" s="30"/>
      <c r="I3" s="8"/>
      <c r="J3" s="8"/>
    </row>
    <row r="4" spans="1:10" s="10" customFormat="1" ht="26.25" customHeight="1" x14ac:dyDescent="0.2">
      <c r="A4" s="106" t="s">
        <v>103</v>
      </c>
      <c r="B4" s="107"/>
      <c r="C4" s="107"/>
      <c r="D4" s="107"/>
      <c r="E4" s="108"/>
      <c r="F4" s="112" t="s">
        <v>7</v>
      </c>
      <c r="G4" s="113"/>
      <c r="H4" s="114"/>
      <c r="I4" s="8"/>
      <c r="J4" s="8"/>
    </row>
    <row r="5" spans="1:10" s="10" customFormat="1" ht="18.75" customHeight="1" x14ac:dyDescent="0.2">
      <c r="A5" s="109"/>
      <c r="B5" s="110"/>
      <c r="C5" s="110"/>
      <c r="D5" s="110"/>
      <c r="E5" s="111"/>
      <c r="F5" s="115">
        <v>204578581</v>
      </c>
      <c r="G5" s="116"/>
      <c r="H5" s="117"/>
      <c r="I5" s="8"/>
      <c r="J5" s="8"/>
    </row>
    <row r="6" spans="1:10" s="10" customFormat="1" ht="22.5" customHeight="1" x14ac:dyDescent="0.2">
      <c r="A6" s="106" t="s">
        <v>8</v>
      </c>
      <c r="B6" s="107"/>
      <c r="C6" s="107"/>
      <c r="D6" s="107"/>
      <c r="E6" s="108"/>
      <c r="F6" s="106" t="s">
        <v>70</v>
      </c>
      <c r="G6" s="118"/>
      <c r="H6" s="119"/>
      <c r="I6" s="8"/>
      <c r="J6" s="8"/>
    </row>
    <row r="7" spans="1:10" s="10" customFormat="1" ht="21.75" customHeight="1" x14ac:dyDescent="0.2">
      <c r="A7" s="115" t="s">
        <v>21</v>
      </c>
      <c r="B7" s="116"/>
      <c r="C7" s="116"/>
      <c r="D7" s="116"/>
      <c r="E7" s="117"/>
      <c r="F7" s="120"/>
      <c r="G7" s="121"/>
      <c r="H7" s="122"/>
      <c r="I7" s="8"/>
      <c r="J7" s="8"/>
    </row>
    <row r="8" spans="1:10" s="10" customFormat="1" ht="21" customHeight="1" x14ac:dyDescent="0.2">
      <c r="A8" s="106" t="s">
        <v>15</v>
      </c>
      <c r="B8" s="107"/>
      <c r="C8" s="107"/>
      <c r="D8" s="107"/>
      <c r="E8" s="107"/>
      <c r="F8" s="107"/>
      <c r="G8" s="107"/>
      <c r="H8" s="108"/>
      <c r="I8" s="8"/>
      <c r="J8" s="8"/>
    </row>
    <row r="9" spans="1:10" s="12" customFormat="1" ht="15.75" customHeight="1" x14ac:dyDescent="0.2">
      <c r="A9" s="123">
        <f>12981173-15116</f>
        <v>12966057</v>
      </c>
      <c r="B9" s="124"/>
      <c r="C9" s="124"/>
      <c r="D9" s="124"/>
      <c r="E9" s="124"/>
      <c r="F9" s="124"/>
      <c r="G9" s="124"/>
      <c r="H9" s="124"/>
      <c r="I9" s="11"/>
    </row>
    <row r="10" spans="1:10" s="13" customFormat="1" ht="66.75" customHeight="1" x14ac:dyDescent="0.2">
      <c r="A10" s="48" t="s">
        <v>1</v>
      </c>
      <c r="B10" s="48" t="s">
        <v>2</v>
      </c>
      <c r="C10" s="48" t="s">
        <v>3</v>
      </c>
      <c r="D10" s="18" t="s">
        <v>38</v>
      </c>
      <c r="E10" s="48" t="s">
        <v>4</v>
      </c>
      <c r="F10" s="48" t="s">
        <v>5</v>
      </c>
      <c r="G10" s="48" t="s">
        <v>6</v>
      </c>
      <c r="H10" s="48" t="s">
        <v>0</v>
      </c>
      <c r="I10" s="11"/>
      <c r="J10" s="12"/>
    </row>
    <row r="11" spans="1:10" s="13" customFormat="1" ht="15" customHeight="1" x14ac:dyDescent="0.2">
      <c r="A11" s="48">
        <v>1</v>
      </c>
      <c r="B11" s="48">
        <v>2</v>
      </c>
      <c r="C11" s="48">
        <v>3</v>
      </c>
      <c r="D11" s="83">
        <v>4</v>
      </c>
      <c r="E11" s="48">
        <v>5</v>
      </c>
      <c r="F11" s="48">
        <v>6</v>
      </c>
      <c r="G11" s="48">
        <v>7</v>
      </c>
      <c r="H11" s="48">
        <v>8</v>
      </c>
      <c r="I11" s="11"/>
      <c r="J11" s="12"/>
    </row>
    <row r="12" spans="1:10" s="30" customFormat="1" ht="24.75" customHeight="1" x14ac:dyDescent="0.2">
      <c r="A12" s="48">
        <v>1</v>
      </c>
      <c r="B12" s="52" t="s">
        <v>89</v>
      </c>
      <c r="C12" s="47" t="s">
        <v>90</v>
      </c>
      <c r="D12" s="83">
        <f>635+635</f>
        <v>1270</v>
      </c>
      <c r="E12" s="48" t="s">
        <v>10</v>
      </c>
      <c r="F12" s="35" t="s">
        <v>12</v>
      </c>
      <c r="G12" s="35" t="s">
        <v>24</v>
      </c>
      <c r="H12" s="36" t="s">
        <v>60</v>
      </c>
    </row>
    <row r="13" spans="1:10" s="21" customFormat="1" ht="27" customHeight="1" x14ac:dyDescent="0.2">
      <c r="A13" s="48">
        <v>2</v>
      </c>
      <c r="B13" s="35" t="s">
        <v>34</v>
      </c>
      <c r="C13" s="48" t="s">
        <v>35</v>
      </c>
      <c r="D13" s="83">
        <f>1249093-1805</f>
        <v>1247288</v>
      </c>
      <c r="E13" s="48" t="s">
        <v>14</v>
      </c>
      <c r="F13" s="35" t="s">
        <v>12</v>
      </c>
      <c r="G13" s="35" t="s">
        <v>24</v>
      </c>
      <c r="H13" s="36" t="s">
        <v>13</v>
      </c>
      <c r="I13" s="7"/>
      <c r="J13" s="30"/>
    </row>
    <row r="14" spans="1:10" s="21" customFormat="1" ht="25.5" customHeight="1" x14ac:dyDescent="0.2">
      <c r="A14" s="48">
        <v>3</v>
      </c>
      <c r="B14" s="44" t="s">
        <v>49</v>
      </c>
      <c r="C14" s="48" t="s">
        <v>50</v>
      </c>
      <c r="D14" s="83">
        <f>35577-8000</f>
        <v>27577</v>
      </c>
      <c r="E14" s="48" t="s">
        <v>14</v>
      </c>
      <c r="F14" s="35" t="s">
        <v>12</v>
      </c>
      <c r="G14" s="35" t="s">
        <v>24</v>
      </c>
      <c r="H14" s="36" t="s">
        <v>13</v>
      </c>
      <c r="I14" s="30"/>
      <c r="J14" s="30"/>
    </row>
    <row r="15" spans="1:10" s="22" customFormat="1" ht="27" customHeight="1" x14ac:dyDescent="0.2">
      <c r="A15" s="48">
        <v>4</v>
      </c>
      <c r="B15" s="44">
        <v>15800000</v>
      </c>
      <c r="C15" s="48" t="s">
        <v>61</v>
      </c>
      <c r="D15" s="83">
        <f>500+1540</f>
        <v>2040</v>
      </c>
      <c r="E15" s="48" t="s">
        <v>10</v>
      </c>
      <c r="F15" s="35" t="s">
        <v>12</v>
      </c>
      <c r="G15" s="35" t="s">
        <v>24</v>
      </c>
      <c r="H15" s="36" t="s">
        <v>60</v>
      </c>
      <c r="I15" s="6"/>
      <c r="J15" s="30"/>
    </row>
    <row r="16" spans="1:10" s="9" customFormat="1" ht="27" customHeight="1" x14ac:dyDescent="0.2">
      <c r="A16" s="48">
        <v>5</v>
      </c>
      <c r="B16" s="44">
        <v>15900000</v>
      </c>
      <c r="C16" s="48" t="s">
        <v>62</v>
      </c>
      <c r="D16" s="83">
        <f>2000+2400</f>
        <v>4400</v>
      </c>
      <c r="E16" s="48" t="s">
        <v>10</v>
      </c>
      <c r="F16" s="35" t="s">
        <v>12</v>
      </c>
      <c r="G16" s="35" t="s">
        <v>24</v>
      </c>
      <c r="H16" s="36" t="s">
        <v>60</v>
      </c>
    </row>
    <row r="17" spans="1:10" s="30" customFormat="1" ht="29.25" customHeight="1" x14ac:dyDescent="0.2">
      <c r="A17" s="48">
        <v>6</v>
      </c>
      <c r="B17" s="47">
        <v>16800000</v>
      </c>
      <c r="C17" s="47" t="s">
        <v>91</v>
      </c>
      <c r="D17" s="84">
        <f>7000</f>
        <v>7000</v>
      </c>
      <c r="E17" s="48" t="s">
        <v>25</v>
      </c>
      <c r="F17" s="35" t="s">
        <v>12</v>
      </c>
      <c r="G17" s="35" t="s">
        <v>24</v>
      </c>
      <c r="H17" s="36"/>
    </row>
    <row r="18" spans="1:10" s="30" customFormat="1" ht="27.75" customHeight="1" x14ac:dyDescent="0.2">
      <c r="A18" s="48">
        <v>7</v>
      </c>
      <c r="B18" s="47">
        <v>18200000</v>
      </c>
      <c r="C18" s="47" t="s">
        <v>85</v>
      </c>
      <c r="D18" s="83">
        <v>374</v>
      </c>
      <c r="E18" s="48" t="s">
        <v>10</v>
      </c>
      <c r="F18" s="35" t="s">
        <v>12</v>
      </c>
      <c r="G18" s="35" t="s">
        <v>24</v>
      </c>
      <c r="H18" s="36"/>
      <c r="I18" s="7"/>
    </row>
    <row r="19" spans="1:10" s="30" customFormat="1" ht="29.25" customHeight="1" x14ac:dyDescent="0.2">
      <c r="A19" s="48">
        <v>8</v>
      </c>
      <c r="B19" s="47">
        <v>18300000</v>
      </c>
      <c r="C19" s="47" t="s">
        <v>86</v>
      </c>
      <c r="D19" s="83">
        <f>4175-800</f>
        <v>3375</v>
      </c>
      <c r="E19" s="48" t="s">
        <v>10</v>
      </c>
      <c r="F19" s="35" t="s">
        <v>12</v>
      </c>
      <c r="G19" s="35" t="s">
        <v>24</v>
      </c>
      <c r="H19" s="36"/>
      <c r="I19" s="7"/>
    </row>
    <row r="20" spans="1:10" s="25" customFormat="1" ht="30.75" customHeight="1" x14ac:dyDescent="0.2">
      <c r="A20" s="48">
        <v>9</v>
      </c>
      <c r="B20" s="48">
        <v>18400000</v>
      </c>
      <c r="C20" s="48" t="s">
        <v>66</v>
      </c>
      <c r="D20" s="83">
        <f>146000+88400</f>
        <v>234400</v>
      </c>
      <c r="E20" s="48" t="s">
        <v>25</v>
      </c>
      <c r="F20" s="35" t="s">
        <v>12</v>
      </c>
      <c r="G20" s="35" t="s">
        <v>24</v>
      </c>
      <c r="H20" s="36"/>
      <c r="I20" s="7"/>
      <c r="J20" s="30"/>
    </row>
    <row r="21" spans="1:10" s="21" customFormat="1" ht="28.5" customHeight="1" x14ac:dyDescent="0.2">
      <c r="A21" s="48">
        <v>10</v>
      </c>
      <c r="B21" s="98">
        <v>18500000</v>
      </c>
      <c r="C21" s="98" t="s">
        <v>55</v>
      </c>
      <c r="D21" s="83">
        <f>15400-1035</f>
        <v>14365</v>
      </c>
      <c r="E21" s="48" t="s">
        <v>25</v>
      </c>
      <c r="F21" s="35" t="s">
        <v>12</v>
      </c>
      <c r="G21" s="35" t="s">
        <v>24</v>
      </c>
      <c r="H21" s="36"/>
      <c r="I21" s="30"/>
      <c r="J21" s="30"/>
    </row>
    <row r="22" spans="1:10" s="30" customFormat="1" ht="28.5" customHeight="1" x14ac:dyDescent="0.2">
      <c r="A22" s="48">
        <v>11</v>
      </c>
      <c r="B22" s="99"/>
      <c r="C22" s="99"/>
      <c r="D22" s="83">
        <v>7300</v>
      </c>
      <c r="E22" s="48" t="s">
        <v>10</v>
      </c>
      <c r="F22" s="35" t="s">
        <v>104</v>
      </c>
      <c r="G22" s="35" t="s">
        <v>104</v>
      </c>
      <c r="H22" s="36" t="s">
        <v>60</v>
      </c>
    </row>
    <row r="23" spans="1:10" s="30" customFormat="1" ht="30" customHeight="1" x14ac:dyDescent="0.2">
      <c r="A23" s="48">
        <v>12</v>
      </c>
      <c r="B23" s="48">
        <v>18800000</v>
      </c>
      <c r="C23" s="48" t="s">
        <v>87</v>
      </c>
      <c r="D23" s="83">
        <v>2200</v>
      </c>
      <c r="E23" s="48" t="s">
        <v>10</v>
      </c>
      <c r="F23" s="35" t="s">
        <v>12</v>
      </c>
      <c r="G23" s="35" t="s">
        <v>24</v>
      </c>
      <c r="H23" s="36"/>
    </row>
    <row r="24" spans="1:10" s="30" customFormat="1" ht="33" customHeight="1" x14ac:dyDescent="0.2">
      <c r="A24" s="48">
        <v>13</v>
      </c>
      <c r="B24" s="47">
        <v>19600000</v>
      </c>
      <c r="C24" s="47" t="s">
        <v>105</v>
      </c>
      <c r="D24" s="83">
        <v>200</v>
      </c>
      <c r="E24" s="48" t="s">
        <v>10</v>
      </c>
      <c r="F24" s="35" t="s">
        <v>104</v>
      </c>
      <c r="G24" s="35" t="s">
        <v>104</v>
      </c>
      <c r="H24" s="36"/>
      <c r="I24" s="7"/>
    </row>
    <row r="25" spans="1:10" s="22" customFormat="1" ht="41.25" customHeight="1" x14ac:dyDescent="0.2">
      <c r="A25" s="48">
        <v>14</v>
      </c>
      <c r="B25" s="48">
        <v>22400000</v>
      </c>
      <c r="C25" s="48" t="s">
        <v>58</v>
      </c>
      <c r="D25" s="83">
        <f>16450+7700</f>
        <v>24150</v>
      </c>
      <c r="E25" s="48" t="s">
        <v>25</v>
      </c>
      <c r="F25" s="35" t="s">
        <v>12</v>
      </c>
      <c r="G25" s="35" t="s">
        <v>24</v>
      </c>
      <c r="H25" s="36"/>
      <c r="I25" s="30"/>
      <c r="J25" s="30"/>
    </row>
    <row r="26" spans="1:10" s="30" customFormat="1" ht="33" customHeight="1" x14ac:dyDescent="0.2">
      <c r="A26" s="48">
        <v>15</v>
      </c>
      <c r="B26" s="44">
        <v>24400000</v>
      </c>
      <c r="C26" s="48" t="s">
        <v>98</v>
      </c>
      <c r="D26" s="83">
        <f>5200-1337</f>
        <v>3863</v>
      </c>
      <c r="E26" s="48" t="s">
        <v>10</v>
      </c>
      <c r="F26" s="35" t="s">
        <v>99</v>
      </c>
      <c r="G26" s="35" t="s">
        <v>100</v>
      </c>
      <c r="H26" s="36"/>
    </row>
    <row r="27" spans="1:10" s="21" customFormat="1" ht="33" customHeight="1" x14ac:dyDescent="0.2">
      <c r="A27" s="48">
        <v>16</v>
      </c>
      <c r="B27" s="96">
        <v>30100000</v>
      </c>
      <c r="C27" s="96" t="s">
        <v>22</v>
      </c>
      <c r="D27" s="85">
        <f>13099-3600</f>
        <v>9499</v>
      </c>
      <c r="E27" s="48" t="s">
        <v>25</v>
      </c>
      <c r="F27" s="35" t="s">
        <v>12</v>
      </c>
      <c r="G27" s="35" t="s">
        <v>24</v>
      </c>
      <c r="H27" s="37"/>
      <c r="I27" s="6"/>
      <c r="J27" s="30"/>
    </row>
    <row r="28" spans="1:10" s="21" customFormat="1" ht="32.25" customHeight="1" x14ac:dyDescent="0.2">
      <c r="A28" s="48">
        <v>17</v>
      </c>
      <c r="B28" s="96"/>
      <c r="C28" s="96"/>
      <c r="D28" s="85">
        <f>21820-100</f>
        <v>21720</v>
      </c>
      <c r="E28" s="48" t="s">
        <v>14</v>
      </c>
      <c r="F28" s="35" t="s">
        <v>12</v>
      </c>
      <c r="G28" s="35" t="s">
        <v>24</v>
      </c>
      <c r="H28" s="36" t="s">
        <v>13</v>
      </c>
      <c r="I28" s="6"/>
      <c r="J28" s="30"/>
    </row>
    <row r="29" spans="1:10" s="30" customFormat="1" ht="30.75" customHeight="1" x14ac:dyDescent="0.2">
      <c r="A29" s="48">
        <v>18</v>
      </c>
      <c r="B29" s="98">
        <v>30200000</v>
      </c>
      <c r="C29" s="98" t="s">
        <v>83</v>
      </c>
      <c r="D29" s="86">
        <f>118500-5530</f>
        <v>112970</v>
      </c>
      <c r="E29" s="48" t="s">
        <v>14</v>
      </c>
      <c r="F29" s="35" t="s">
        <v>12</v>
      </c>
      <c r="G29" s="35" t="s">
        <v>24</v>
      </c>
      <c r="H29" s="36" t="s">
        <v>13</v>
      </c>
      <c r="I29" s="6"/>
    </row>
    <row r="30" spans="1:10" s="30" customFormat="1" ht="27" customHeight="1" x14ac:dyDescent="0.2">
      <c r="A30" s="48">
        <v>19</v>
      </c>
      <c r="B30" s="101"/>
      <c r="C30" s="101"/>
      <c r="D30" s="86">
        <v>2299</v>
      </c>
      <c r="E30" s="48" t="s">
        <v>10</v>
      </c>
      <c r="F30" s="35" t="s">
        <v>12</v>
      </c>
      <c r="G30" s="35" t="s">
        <v>24</v>
      </c>
      <c r="H30" s="36"/>
      <c r="I30" s="6"/>
    </row>
    <row r="31" spans="1:10" s="30" customFormat="1" ht="29.25" customHeight="1" x14ac:dyDescent="0.2">
      <c r="A31" s="48">
        <v>20</v>
      </c>
      <c r="B31" s="99"/>
      <c r="C31" s="99"/>
      <c r="D31" s="85">
        <v>255</v>
      </c>
      <c r="E31" s="48" t="s">
        <v>10</v>
      </c>
      <c r="F31" s="35" t="s">
        <v>104</v>
      </c>
      <c r="G31" s="35" t="s">
        <v>104</v>
      </c>
      <c r="H31" s="36"/>
      <c r="I31" s="6"/>
    </row>
    <row r="32" spans="1:10" s="30" customFormat="1" ht="27.75" customHeight="1" x14ac:dyDescent="0.2">
      <c r="A32" s="48">
        <v>21</v>
      </c>
      <c r="B32" s="98">
        <v>31100000</v>
      </c>
      <c r="C32" s="98" t="s">
        <v>77</v>
      </c>
      <c r="D32" s="83">
        <f>1000-925</f>
        <v>75</v>
      </c>
      <c r="E32" s="48" t="s">
        <v>10</v>
      </c>
      <c r="F32" s="35" t="s">
        <v>12</v>
      </c>
      <c r="G32" s="35" t="s">
        <v>24</v>
      </c>
      <c r="H32" s="36"/>
      <c r="I32" s="7"/>
    </row>
    <row r="33" spans="1:11" s="30" customFormat="1" ht="27.75" customHeight="1" x14ac:dyDescent="0.2">
      <c r="A33" s="48">
        <v>22</v>
      </c>
      <c r="B33" s="99"/>
      <c r="C33" s="99"/>
      <c r="D33" s="84">
        <v>67000</v>
      </c>
      <c r="E33" s="48" t="s">
        <v>25</v>
      </c>
      <c r="F33" s="35" t="s">
        <v>12</v>
      </c>
      <c r="G33" s="35" t="s">
        <v>24</v>
      </c>
      <c r="H33" s="36"/>
      <c r="I33" s="7"/>
    </row>
    <row r="34" spans="1:11" s="30" customFormat="1" ht="27.75" customHeight="1" x14ac:dyDescent="0.2">
      <c r="A34" s="48">
        <v>23</v>
      </c>
      <c r="B34" s="48">
        <v>31300000</v>
      </c>
      <c r="C34" s="48" t="s">
        <v>106</v>
      </c>
      <c r="D34" s="83">
        <v>40</v>
      </c>
      <c r="E34" s="48" t="s">
        <v>10</v>
      </c>
      <c r="F34" s="35" t="s">
        <v>104</v>
      </c>
      <c r="G34" s="35" t="s">
        <v>104</v>
      </c>
      <c r="H34" s="36"/>
    </row>
    <row r="35" spans="1:11" s="21" customFormat="1" ht="23.25" customHeight="1" x14ac:dyDescent="0.2">
      <c r="A35" s="48">
        <v>24</v>
      </c>
      <c r="B35" s="96">
        <v>31400000</v>
      </c>
      <c r="C35" s="96" t="s">
        <v>29</v>
      </c>
      <c r="D35" s="83">
        <f>4000-4000</f>
        <v>0</v>
      </c>
      <c r="E35" s="48" t="s">
        <v>10</v>
      </c>
      <c r="F35" s="35" t="s">
        <v>12</v>
      </c>
      <c r="G35" s="35" t="s">
        <v>24</v>
      </c>
      <c r="H35" s="36"/>
      <c r="I35" s="7"/>
      <c r="J35" s="30"/>
    </row>
    <row r="36" spans="1:11" s="22" customFormat="1" ht="24.75" customHeight="1" x14ac:dyDescent="0.2">
      <c r="A36" s="48">
        <v>25</v>
      </c>
      <c r="B36" s="96"/>
      <c r="C36" s="96"/>
      <c r="D36" s="83">
        <f>15000+2050</f>
        <v>17050</v>
      </c>
      <c r="E36" s="48" t="s">
        <v>14</v>
      </c>
      <c r="F36" s="35" t="s">
        <v>12</v>
      </c>
      <c r="G36" s="35" t="s">
        <v>24</v>
      </c>
      <c r="H36" s="36" t="s">
        <v>13</v>
      </c>
      <c r="I36" s="7"/>
      <c r="J36" s="30"/>
    </row>
    <row r="37" spans="1:11" s="30" customFormat="1" ht="27.75" customHeight="1" x14ac:dyDescent="0.2">
      <c r="A37" s="48">
        <v>26</v>
      </c>
      <c r="B37" s="48">
        <v>31500000</v>
      </c>
      <c r="C37" s="48" t="s">
        <v>74</v>
      </c>
      <c r="D37" s="83">
        <f>21260-5670</f>
        <v>15590</v>
      </c>
      <c r="E37" s="48" t="s">
        <v>25</v>
      </c>
      <c r="F37" s="35" t="s">
        <v>12</v>
      </c>
      <c r="G37" s="35" t="s">
        <v>24</v>
      </c>
      <c r="H37" s="41"/>
    </row>
    <row r="38" spans="1:11" s="21" customFormat="1" ht="29.25" customHeight="1" x14ac:dyDescent="0.2">
      <c r="A38" s="48">
        <v>27</v>
      </c>
      <c r="B38" s="47">
        <v>32200000</v>
      </c>
      <c r="C38" s="47" t="s">
        <v>59</v>
      </c>
      <c r="D38" s="83">
        <f>4900-4900</f>
        <v>0</v>
      </c>
      <c r="E38" s="48" t="s">
        <v>10</v>
      </c>
      <c r="F38" s="35" t="s">
        <v>12</v>
      </c>
      <c r="G38" s="35" t="s">
        <v>24</v>
      </c>
      <c r="H38" s="36"/>
      <c r="I38" s="7"/>
      <c r="J38" s="30"/>
    </row>
    <row r="39" spans="1:11" s="21" customFormat="1" ht="27" customHeight="1" x14ac:dyDescent="0.2">
      <c r="A39" s="48">
        <v>28</v>
      </c>
      <c r="B39" s="48">
        <v>32400000</v>
      </c>
      <c r="C39" s="48" t="s">
        <v>43</v>
      </c>
      <c r="D39" s="83">
        <f>1000-780</f>
        <v>220</v>
      </c>
      <c r="E39" s="48" t="s">
        <v>10</v>
      </c>
      <c r="F39" s="35" t="s">
        <v>12</v>
      </c>
      <c r="G39" s="35" t="s">
        <v>24</v>
      </c>
      <c r="H39" s="36"/>
      <c r="I39" s="7"/>
      <c r="J39" s="30"/>
    </row>
    <row r="40" spans="1:11" s="30" customFormat="1" ht="28.5" customHeight="1" x14ac:dyDescent="0.2">
      <c r="A40" s="48">
        <v>29</v>
      </c>
      <c r="B40" s="47">
        <v>32500000</v>
      </c>
      <c r="C40" s="47" t="s">
        <v>78</v>
      </c>
      <c r="D40" s="83">
        <f>6000-1530</f>
        <v>4470</v>
      </c>
      <c r="E40" s="48" t="s">
        <v>10</v>
      </c>
      <c r="F40" s="35" t="s">
        <v>12</v>
      </c>
      <c r="G40" s="35" t="s">
        <v>24</v>
      </c>
      <c r="H40" s="36"/>
      <c r="I40" s="7"/>
    </row>
    <row r="41" spans="1:11" s="30" customFormat="1" ht="27" customHeight="1" x14ac:dyDescent="0.2">
      <c r="A41" s="48">
        <v>30</v>
      </c>
      <c r="B41" s="98">
        <v>34100000</v>
      </c>
      <c r="C41" s="98" t="s">
        <v>81</v>
      </c>
      <c r="D41" s="84">
        <f>500000+236152</f>
        <v>736152</v>
      </c>
      <c r="E41" s="48" t="s">
        <v>14</v>
      </c>
      <c r="F41" s="35" t="s">
        <v>12</v>
      </c>
      <c r="G41" s="35" t="s">
        <v>24</v>
      </c>
      <c r="H41" s="36" t="s">
        <v>13</v>
      </c>
    </row>
    <row r="42" spans="1:11" s="30" customFormat="1" ht="30" customHeight="1" x14ac:dyDescent="0.2">
      <c r="A42" s="48">
        <v>31</v>
      </c>
      <c r="B42" s="99"/>
      <c r="C42" s="99"/>
      <c r="D42" s="87">
        <f>2620453-876769.46</f>
        <v>1743683.54</v>
      </c>
      <c r="E42" s="48" t="s">
        <v>25</v>
      </c>
      <c r="F42" s="35" t="s">
        <v>12</v>
      </c>
      <c r="G42" s="35" t="s">
        <v>24</v>
      </c>
      <c r="H42" s="36"/>
    </row>
    <row r="43" spans="1:11" s="21" customFormat="1" ht="32.25" customHeight="1" x14ac:dyDescent="0.2">
      <c r="A43" s="48">
        <v>32</v>
      </c>
      <c r="B43" s="47">
        <v>34300000</v>
      </c>
      <c r="C43" s="47" t="s">
        <v>36</v>
      </c>
      <c r="D43" s="83">
        <f>89596+70</f>
        <v>89666</v>
      </c>
      <c r="E43" s="48" t="s">
        <v>14</v>
      </c>
      <c r="F43" s="35" t="s">
        <v>12</v>
      </c>
      <c r="G43" s="35" t="s">
        <v>24</v>
      </c>
      <c r="H43" s="36" t="s">
        <v>13</v>
      </c>
      <c r="I43" s="7"/>
      <c r="J43" s="30"/>
    </row>
    <row r="44" spans="1:11" s="30" customFormat="1" ht="26.25" customHeight="1" x14ac:dyDescent="0.2">
      <c r="A44" s="48">
        <v>33</v>
      </c>
      <c r="B44" s="98">
        <v>35100000</v>
      </c>
      <c r="C44" s="98" t="s">
        <v>69</v>
      </c>
      <c r="D44" s="83">
        <f>14600-3283</f>
        <v>11317</v>
      </c>
      <c r="E44" s="48" t="s">
        <v>25</v>
      </c>
      <c r="F44" s="35" t="s">
        <v>12</v>
      </c>
      <c r="G44" s="35" t="s">
        <v>24</v>
      </c>
      <c r="H44" s="48"/>
    </row>
    <row r="45" spans="1:11" s="30" customFormat="1" ht="25.5" customHeight="1" x14ac:dyDescent="0.2">
      <c r="A45" s="48">
        <v>34</v>
      </c>
      <c r="B45" s="99"/>
      <c r="C45" s="99"/>
      <c r="D45" s="84">
        <f>20900-8550</f>
        <v>12350</v>
      </c>
      <c r="E45" s="48" t="s">
        <v>25</v>
      </c>
      <c r="F45" s="35" t="s">
        <v>12</v>
      </c>
      <c r="G45" s="35" t="s">
        <v>24</v>
      </c>
      <c r="H45" s="48"/>
    </row>
    <row r="46" spans="1:11" s="26" customFormat="1" ht="30" customHeight="1" x14ac:dyDescent="0.2">
      <c r="A46" s="48">
        <v>35</v>
      </c>
      <c r="B46" s="48">
        <v>35300000</v>
      </c>
      <c r="C46" s="48" t="s">
        <v>67</v>
      </c>
      <c r="D46" s="83">
        <f>4900-4900</f>
        <v>0</v>
      </c>
      <c r="E46" s="48" t="s">
        <v>10</v>
      </c>
      <c r="F46" s="35" t="s">
        <v>12</v>
      </c>
      <c r="G46" s="35" t="s">
        <v>24</v>
      </c>
      <c r="H46" s="36"/>
      <c r="I46" s="7"/>
      <c r="J46" s="30"/>
    </row>
    <row r="47" spans="1:11" s="30" customFormat="1" ht="30" customHeight="1" x14ac:dyDescent="0.2">
      <c r="A47" s="48">
        <v>36</v>
      </c>
      <c r="B47" s="47">
        <v>37400000</v>
      </c>
      <c r="C47" s="47" t="s">
        <v>88</v>
      </c>
      <c r="D47" s="83">
        <v>251</v>
      </c>
      <c r="E47" s="48" t="s">
        <v>10</v>
      </c>
      <c r="F47" s="35" t="s">
        <v>12</v>
      </c>
      <c r="G47" s="35" t="s">
        <v>24</v>
      </c>
      <c r="H47" s="36"/>
      <c r="I47" s="7"/>
    </row>
    <row r="48" spans="1:11" s="28" customFormat="1" ht="29.25" customHeight="1" x14ac:dyDescent="0.2">
      <c r="A48" s="48">
        <v>37</v>
      </c>
      <c r="B48" s="96">
        <v>39100000</v>
      </c>
      <c r="C48" s="96" t="s">
        <v>11</v>
      </c>
      <c r="D48" s="83">
        <f>1000-35</f>
        <v>965</v>
      </c>
      <c r="E48" s="48" t="s">
        <v>10</v>
      </c>
      <c r="F48" s="35" t="s">
        <v>12</v>
      </c>
      <c r="G48" s="35" t="s">
        <v>24</v>
      </c>
      <c r="H48" s="36"/>
      <c r="I48" s="6"/>
      <c r="J48" s="30"/>
      <c r="K48" s="8"/>
    </row>
    <row r="49" spans="1:11" s="30" customFormat="1" ht="29.25" customHeight="1" x14ac:dyDescent="0.2">
      <c r="A49" s="48">
        <v>38</v>
      </c>
      <c r="B49" s="96"/>
      <c r="C49" s="96"/>
      <c r="D49" s="84">
        <f>8990+35</f>
        <v>9025</v>
      </c>
      <c r="E49" s="48" t="s">
        <v>10</v>
      </c>
      <c r="F49" s="35" t="s">
        <v>12</v>
      </c>
      <c r="G49" s="35" t="s">
        <v>24</v>
      </c>
      <c r="H49" s="36"/>
      <c r="I49" s="6"/>
      <c r="K49" s="8"/>
    </row>
    <row r="50" spans="1:11" s="30" customFormat="1" ht="30" customHeight="1" x14ac:dyDescent="0.2">
      <c r="A50" s="48">
        <v>39</v>
      </c>
      <c r="B50" s="96"/>
      <c r="C50" s="96"/>
      <c r="D50" s="83">
        <f>19000+13100</f>
        <v>32100</v>
      </c>
      <c r="E50" s="48" t="s">
        <v>14</v>
      </c>
      <c r="F50" s="35" t="s">
        <v>12</v>
      </c>
      <c r="G50" s="35" t="s">
        <v>24</v>
      </c>
      <c r="H50" s="36" t="s">
        <v>13</v>
      </c>
      <c r="I50" s="6"/>
      <c r="K50" s="8"/>
    </row>
    <row r="51" spans="1:11" s="21" customFormat="1" ht="21" customHeight="1" x14ac:dyDescent="0.2">
      <c r="A51" s="48">
        <v>40</v>
      </c>
      <c r="B51" s="98">
        <v>39200000</v>
      </c>
      <c r="C51" s="98" t="s">
        <v>52</v>
      </c>
      <c r="D51" s="83">
        <f>8390-1500</f>
        <v>6890</v>
      </c>
      <c r="E51" s="48" t="s">
        <v>10</v>
      </c>
      <c r="F51" s="35" t="s">
        <v>12</v>
      </c>
      <c r="G51" s="35" t="s">
        <v>24</v>
      </c>
      <c r="H51" s="48"/>
      <c r="I51" s="7"/>
      <c r="J51" s="30"/>
    </row>
    <row r="52" spans="1:11" s="30" customFormat="1" ht="22.5" customHeight="1" x14ac:dyDescent="0.2">
      <c r="A52" s="48">
        <v>41</v>
      </c>
      <c r="B52" s="101"/>
      <c r="C52" s="101"/>
      <c r="D52" s="84">
        <f>1600+1199</f>
        <v>2799</v>
      </c>
      <c r="E52" s="48" t="s">
        <v>10</v>
      </c>
      <c r="F52" s="35" t="s">
        <v>12</v>
      </c>
      <c r="G52" s="35" t="s">
        <v>24</v>
      </c>
      <c r="H52" s="48"/>
      <c r="I52" s="7"/>
    </row>
    <row r="53" spans="1:11" s="30" customFormat="1" ht="22.5" customHeight="1" x14ac:dyDescent="0.2">
      <c r="A53" s="48">
        <v>42</v>
      </c>
      <c r="B53" s="99"/>
      <c r="C53" s="99"/>
      <c r="D53" s="83">
        <f>1800+525</f>
        <v>2325</v>
      </c>
      <c r="E53" s="48" t="s">
        <v>10</v>
      </c>
      <c r="F53" s="35" t="s">
        <v>12</v>
      </c>
      <c r="G53" s="35" t="s">
        <v>24</v>
      </c>
      <c r="H53" s="36" t="s">
        <v>60</v>
      </c>
      <c r="I53" s="7"/>
    </row>
    <row r="54" spans="1:11" s="30" customFormat="1" ht="30" customHeight="1" x14ac:dyDescent="0.2">
      <c r="A54" s="48">
        <v>43</v>
      </c>
      <c r="B54" s="48">
        <v>42100000</v>
      </c>
      <c r="C54" s="48" t="s">
        <v>84</v>
      </c>
      <c r="D54" s="83">
        <f>988-580</f>
        <v>408</v>
      </c>
      <c r="E54" s="48" t="s">
        <v>10</v>
      </c>
      <c r="F54" s="35" t="s">
        <v>12</v>
      </c>
      <c r="G54" s="35" t="s">
        <v>24</v>
      </c>
      <c r="H54" s="36"/>
      <c r="I54" s="7"/>
    </row>
    <row r="55" spans="1:11" s="30" customFormat="1" ht="27.75" customHeight="1" x14ac:dyDescent="0.2">
      <c r="A55" s="48">
        <v>44</v>
      </c>
      <c r="B55" s="48">
        <v>42500000</v>
      </c>
      <c r="C55" s="48" t="s">
        <v>80</v>
      </c>
      <c r="D55" s="84">
        <f>11231</f>
        <v>11231</v>
      </c>
      <c r="E55" s="48" t="s">
        <v>25</v>
      </c>
      <c r="F55" s="35" t="s">
        <v>12</v>
      </c>
      <c r="G55" s="35" t="s">
        <v>24</v>
      </c>
      <c r="H55" s="36"/>
    </row>
    <row r="56" spans="1:11" s="30" customFormat="1" ht="28.5" customHeight="1" x14ac:dyDescent="0.2">
      <c r="A56" s="48">
        <v>45</v>
      </c>
      <c r="B56" s="48">
        <v>42600000</v>
      </c>
      <c r="C56" s="48" t="s">
        <v>107</v>
      </c>
      <c r="D56" s="83">
        <f>1500-912</f>
        <v>588</v>
      </c>
      <c r="E56" s="48" t="s">
        <v>10</v>
      </c>
      <c r="F56" s="35" t="s">
        <v>104</v>
      </c>
      <c r="G56" s="35" t="s">
        <v>104</v>
      </c>
      <c r="H56" s="36"/>
    </row>
    <row r="57" spans="1:11" s="21" customFormat="1" ht="27" customHeight="1" x14ac:dyDescent="0.2">
      <c r="A57" s="48">
        <v>46</v>
      </c>
      <c r="B57" s="102">
        <v>42900000</v>
      </c>
      <c r="C57" s="98" t="s">
        <v>51</v>
      </c>
      <c r="D57" s="83">
        <f>22845-18276</f>
        <v>4569</v>
      </c>
      <c r="E57" s="48" t="s">
        <v>14</v>
      </c>
      <c r="F57" s="35" t="s">
        <v>12</v>
      </c>
      <c r="G57" s="35" t="s">
        <v>24</v>
      </c>
      <c r="H57" s="36" t="s">
        <v>13</v>
      </c>
      <c r="I57" s="30"/>
      <c r="J57" s="30"/>
    </row>
    <row r="58" spans="1:11" s="30" customFormat="1" ht="25.5" customHeight="1" x14ac:dyDescent="0.2">
      <c r="A58" s="48">
        <v>47</v>
      </c>
      <c r="B58" s="103"/>
      <c r="C58" s="101"/>
      <c r="D58" s="84">
        <v>9100</v>
      </c>
      <c r="E58" s="48" t="s">
        <v>10</v>
      </c>
      <c r="F58" s="35" t="s">
        <v>99</v>
      </c>
      <c r="G58" s="35" t="s">
        <v>100</v>
      </c>
      <c r="H58" s="36"/>
    </row>
    <row r="59" spans="1:11" s="30" customFormat="1" ht="27" customHeight="1" x14ac:dyDescent="0.2">
      <c r="A59" s="48">
        <v>48</v>
      </c>
      <c r="B59" s="104"/>
      <c r="C59" s="99"/>
      <c r="D59" s="83">
        <f>400-300</f>
        <v>100</v>
      </c>
      <c r="E59" s="48" t="s">
        <v>10</v>
      </c>
      <c r="F59" s="35" t="s">
        <v>99</v>
      </c>
      <c r="G59" s="35" t="s">
        <v>100</v>
      </c>
      <c r="H59" s="36"/>
    </row>
    <row r="60" spans="1:11" s="30" customFormat="1" ht="31.5" customHeight="1" x14ac:dyDescent="0.2">
      <c r="A60" s="48">
        <v>49</v>
      </c>
      <c r="B60" s="48">
        <v>43200000</v>
      </c>
      <c r="C60" s="48" t="s">
        <v>82</v>
      </c>
      <c r="D60" s="87">
        <f>2545395-372064.67</f>
        <v>2173330.33</v>
      </c>
      <c r="E60" s="48" t="s">
        <v>25</v>
      </c>
      <c r="F60" s="35" t="s">
        <v>12</v>
      </c>
      <c r="G60" s="35" t="s">
        <v>24</v>
      </c>
      <c r="H60" s="36"/>
    </row>
    <row r="61" spans="1:11" s="30" customFormat="1" ht="27.75" customHeight="1" x14ac:dyDescent="0.2">
      <c r="A61" s="48">
        <v>50</v>
      </c>
      <c r="B61" s="48">
        <v>44200000</v>
      </c>
      <c r="C61" s="48" t="s">
        <v>102</v>
      </c>
      <c r="D61" s="84">
        <v>9040</v>
      </c>
      <c r="E61" s="48" t="s">
        <v>10</v>
      </c>
      <c r="F61" s="35" t="s">
        <v>99</v>
      </c>
      <c r="G61" s="35" t="s">
        <v>100</v>
      </c>
      <c r="H61" s="36"/>
    </row>
    <row r="62" spans="1:11" s="21" customFormat="1" ht="33" customHeight="1" x14ac:dyDescent="0.2">
      <c r="A62" s="48">
        <v>51</v>
      </c>
      <c r="B62" s="48">
        <v>44400000</v>
      </c>
      <c r="C62" s="48" t="s">
        <v>42</v>
      </c>
      <c r="D62" s="83">
        <f>9995-780</f>
        <v>9215</v>
      </c>
      <c r="E62" s="48" t="s">
        <v>10</v>
      </c>
      <c r="F62" s="35" t="s">
        <v>12</v>
      </c>
      <c r="G62" s="35" t="s">
        <v>24</v>
      </c>
      <c r="H62" s="36"/>
      <c r="I62" s="7"/>
      <c r="J62" s="30"/>
    </row>
    <row r="63" spans="1:11" s="29" customFormat="1" ht="35.25" customHeight="1" x14ac:dyDescent="0.2">
      <c r="A63" s="48">
        <v>52</v>
      </c>
      <c r="B63" s="48">
        <v>45200000</v>
      </c>
      <c r="C63" s="48" t="s">
        <v>65</v>
      </c>
      <c r="D63" s="87">
        <f>3157104.13-3005</f>
        <v>3154099.13</v>
      </c>
      <c r="E63" s="48" t="s">
        <v>25</v>
      </c>
      <c r="F63" s="35" t="s">
        <v>12</v>
      </c>
      <c r="G63" s="35" t="s">
        <v>24</v>
      </c>
      <c r="H63" s="36"/>
      <c r="I63" s="7"/>
      <c r="J63" s="30"/>
    </row>
    <row r="64" spans="1:11" s="30" customFormat="1" ht="27" customHeight="1" x14ac:dyDescent="0.2">
      <c r="A64" s="48">
        <v>53</v>
      </c>
      <c r="B64" s="98">
        <v>45300000</v>
      </c>
      <c r="C64" s="98" t="s">
        <v>73</v>
      </c>
      <c r="D64" s="83">
        <f>2000-560</f>
        <v>1440</v>
      </c>
      <c r="E64" s="48" t="s">
        <v>10</v>
      </c>
      <c r="F64" s="35" t="s">
        <v>12</v>
      </c>
      <c r="G64" s="35" t="s">
        <v>24</v>
      </c>
      <c r="H64" s="36"/>
      <c r="I64" s="7"/>
    </row>
    <row r="65" spans="1:10" s="30" customFormat="1" ht="27" customHeight="1" x14ac:dyDescent="0.2">
      <c r="A65" s="48">
        <v>54</v>
      </c>
      <c r="B65" s="99"/>
      <c r="C65" s="99"/>
      <c r="D65" s="84">
        <f>7008+600</f>
        <v>7608</v>
      </c>
      <c r="E65" s="48" t="s">
        <v>10</v>
      </c>
      <c r="F65" s="35" t="s">
        <v>99</v>
      </c>
      <c r="G65" s="35" t="s">
        <v>100</v>
      </c>
      <c r="H65" s="36"/>
      <c r="I65" s="7"/>
    </row>
    <row r="66" spans="1:10" s="9" customFormat="1" ht="28.5" customHeight="1" x14ac:dyDescent="0.2">
      <c r="A66" s="48">
        <v>55</v>
      </c>
      <c r="B66" s="48">
        <v>45400000</v>
      </c>
      <c r="C66" s="48" t="s">
        <v>72</v>
      </c>
      <c r="D66" s="84">
        <f>571715+217982</f>
        <v>789697</v>
      </c>
      <c r="E66" s="48" t="s">
        <v>25</v>
      </c>
      <c r="F66" s="35" t="s">
        <v>12</v>
      </c>
      <c r="G66" s="35" t="s">
        <v>24</v>
      </c>
      <c r="H66" s="48"/>
    </row>
    <row r="67" spans="1:10" s="24" customFormat="1" ht="27" customHeight="1" x14ac:dyDescent="0.2">
      <c r="A67" s="48">
        <v>56</v>
      </c>
      <c r="B67" s="48">
        <v>48200000</v>
      </c>
      <c r="C67" s="48" t="s">
        <v>64</v>
      </c>
      <c r="D67" s="83">
        <f>2000-265</f>
        <v>1735</v>
      </c>
      <c r="E67" s="48" t="s">
        <v>10</v>
      </c>
      <c r="F67" s="35" t="s">
        <v>12</v>
      </c>
      <c r="G67" s="35" t="s">
        <v>24</v>
      </c>
      <c r="H67" s="36"/>
      <c r="I67" s="6"/>
      <c r="J67" s="30"/>
    </row>
    <row r="68" spans="1:10" s="28" customFormat="1" ht="26.25" customHeight="1" x14ac:dyDescent="0.2">
      <c r="A68" s="48">
        <v>57</v>
      </c>
      <c r="B68" s="47">
        <v>48600000</v>
      </c>
      <c r="C68" s="47" t="s">
        <v>57</v>
      </c>
      <c r="D68" s="83">
        <f>4500+130</f>
        <v>4630</v>
      </c>
      <c r="E68" s="48" t="s">
        <v>10</v>
      </c>
      <c r="F68" s="35" t="s">
        <v>12</v>
      </c>
      <c r="G68" s="35" t="s">
        <v>24</v>
      </c>
      <c r="H68" s="36" t="s">
        <v>17</v>
      </c>
      <c r="I68" s="6"/>
      <c r="J68" s="30"/>
    </row>
    <row r="69" spans="1:10" s="21" customFormat="1" ht="28.5" customHeight="1" x14ac:dyDescent="0.2">
      <c r="A69" s="48">
        <v>58</v>
      </c>
      <c r="B69" s="96">
        <v>50100000</v>
      </c>
      <c r="C69" s="96" t="s">
        <v>23</v>
      </c>
      <c r="D69" s="83">
        <f>142000-60325</f>
        <v>81675</v>
      </c>
      <c r="E69" s="48" t="s">
        <v>10</v>
      </c>
      <c r="F69" s="35" t="s">
        <v>12</v>
      </c>
      <c r="G69" s="35" t="s">
        <v>24</v>
      </c>
      <c r="H69" s="36" t="s">
        <v>47</v>
      </c>
      <c r="I69" s="15"/>
      <c r="J69" s="30"/>
    </row>
    <row r="70" spans="1:10" s="21" customFormat="1" ht="26.25" customHeight="1" x14ac:dyDescent="0.2">
      <c r="A70" s="48">
        <v>59</v>
      </c>
      <c r="B70" s="96"/>
      <c r="C70" s="96"/>
      <c r="D70" s="83">
        <f>204000+64785</f>
        <v>268785</v>
      </c>
      <c r="E70" s="48" t="s">
        <v>25</v>
      </c>
      <c r="F70" s="35" t="s">
        <v>12</v>
      </c>
      <c r="G70" s="35" t="s">
        <v>24</v>
      </c>
      <c r="H70" s="36"/>
      <c r="I70" s="15"/>
      <c r="J70" s="30"/>
    </row>
    <row r="71" spans="1:10" s="30" customFormat="1" ht="24.75" customHeight="1" x14ac:dyDescent="0.2">
      <c r="A71" s="48">
        <v>60</v>
      </c>
      <c r="B71" s="96"/>
      <c r="C71" s="96"/>
      <c r="D71" s="83">
        <f>53000-400</f>
        <v>52600</v>
      </c>
      <c r="E71" s="48" t="s">
        <v>25</v>
      </c>
      <c r="F71" s="35" t="s">
        <v>12</v>
      </c>
      <c r="G71" s="35" t="s">
        <v>24</v>
      </c>
      <c r="H71" s="36"/>
      <c r="I71" s="15"/>
    </row>
    <row r="72" spans="1:10" s="21" customFormat="1" ht="29.25" customHeight="1" x14ac:dyDescent="0.2">
      <c r="A72" s="48">
        <v>61</v>
      </c>
      <c r="B72" s="96"/>
      <c r="C72" s="96"/>
      <c r="D72" s="84">
        <f>5000+3005</f>
        <v>8005</v>
      </c>
      <c r="E72" s="48" t="s">
        <v>25</v>
      </c>
      <c r="F72" s="35" t="s">
        <v>94</v>
      </c>
      <c r="G72" s="35" t="s">
        <v>95</v>
      </c>
      <c r="H72" s="36"/>
      <c r="I72" s="15"/>
      <c r="J72" s="30"/>
    </row>
    <row r="73" spans="1:10" s="21" customFormat="1" ht="56.25" customHeight="1" x14ac:dyDescent="0.2">
      <c r="A73" s="48">
        <v>62</v>
      </c>
      <c r="B73" s="48">
        <v>50300000</v>
      </c>
      <c r="C73" s="48" t="s">
        <v>41</v>
      </c>
      <c r="D73" s="83">
        <f>15000-7960</f>
        <v>7040</v>
      </c>
      <c r="E73" s="48" t="s">
        <v>25</v>
      </c>
      <c r="F73" s="35" t="s">
        <v>12</v>
      </c>
      <c r="G73" s="35" t="s">
        <v>24</v>
      </c>
      <c r="H73" s="36"/>
      <c r="I73" s="6"/>
      <c r="J73" s="30"/>
    </row>
    <row r="74" spans="1:10" s="21" customFormat="1" ht="35.25" customHeight="1" x14ac:dyDescent="0.2">
      <c r="A74" s="48">
        <v>63</v>
      </c>
      <c r="B74" s="48">
        <v>50700000</v>
      </c>
      <c r="C74" s="48" t="s">
        <v>44</v>
      </c>
      <c r="D74" s="83">
        <f>13700-200</f>
        <v>13500</v>
      </c>
      <c r="E74" s="48" t="s">
        <v>25</v>
      </c>
      <c r="F74" s="35" t="s">
        <v>12</v>
      </c>
      <c r="G74" s="35" t="s">
        <v>24</v>
      </c>
      <c r="H74" s="36"/>
      <c r="I74" s="6"/>
      <c r="J74" s="30"/>
    </row>
    <row r="75" spans="1:10" s="42" customFormat="1" ht="27.75" customHeight="1" x14ac:dyDescent="0.2">
      <c r="A75" s="48">
        <v>64</v>
      </c>
      <c r="B75" s="48">
        <v>55300000</v>
      </c>
      <c r="C75" s="48" t="s">
        <v>76</v>
      </c>
      <c r="D75" s="83">
        <f>11100+1490</f>
        <v>12590</v>
      </c>
      <c r="E75" s="48" t="s">
        <v>10</v>
      </c>
      <c r="F75" s="35" t="s">
        <v>12</v>
      </c>
      <c r="G75" s="35" t="s">
        <v>24</v>
      </c>
      <c r="H75" s="36" t="s">
        <v>60</v>
      </c>
    </row>
    <row r="76" spans="1:10" s="21" customFormat="1" ht="28.5" customHeight="1" x14ac:dyDescent="0.2">
      <c r="A76" s="48">
        <v>65</v>
      </c>
      <c r="B76" s="48">
        <v>63100000</v>
      </c>
      <c r="C76" s="48" t="s">
        <v>45</v>
      </c>
      <c r="D76" s="83">
        <f>20000-5000</f>
        <v>15000</v>
      </c>
      <c r="E76" s="48" t="s">
        <v>25</v>
      </c>
      <c r="F76" s="35" t="s">
        <v>12</v>
      </c>
      <c r="G76" s="35" t="s">
        <v>24</v>
      </c>
      <c r="H76" s="36"/>
      <c r="I76" s="6"/>
      <c r="J76" s="30"/>
    </row>
    <row r="77" spans="1:10" s="20" customFormat="1" ht="29.25" customHeight="1" x14ac:dyDescent="0.2">
      <c r="A77" s="48">
        <v>66</v>
      </c>
      <c r="B77" s="48">
        <v>63700000</v>
      </c>
      <c r="C77" s="48" t="s">
        <v>19</v>
      </c>
      <c r="D77" s="83">
        <f>42240-5400</f>
        <v>36840</v>
      </c>
      <c r="E77" s="48" t="s">
        <v>25</v>
      </c>
      <c r="F77" s="35" t="s">
        <v>12</v>
      </c>
      <c r="G77" s="35" t="s">
        <v>24</v>
      </c>
      <c r="H77" s="36"/>
      <c r="I77" s="40"/>
      <c r="J77" s="40"/>
    </row>
    <row r="78" spans="1:10" s="38" customFormat="1" ht="28.5" customHeight="1" x14ac:dyDescent="0.2">
      <c r="A78" s="48">
        <v>67</v>
      </c>
      <c r="B78" s="48">
        <v>64100000</v>
      </c>
      <c r="C78" s="48" t="s">
        <v>71</v>
      </c>
      <c r="D78" s="83">
        <f>17000+975</f>
        <v>17975</v>
      </c>
      <c r="E78" s="48" t="s">
        <v>25</v>
      </c>
      <c r="F78" s="35" t="s">
        <v>12</v>
      </c>
      <c r="G78" s="35" t="s">
        <v>24</v>
      </c>
      <c r="H78" s="36"/>
      <c r="I78" s="40"/>
      <c r="J78" s="40"/>
    </row>
    <row r="79" spans="1:10" s="21" customFormat="1" ht="24.75" customHeight="1" x14ac:dyDescent="0.2">
      <c r="A79" s="48">
        <v>68</v>
      </c>
      <c r="B79" s="96">
        <v>64200000</v>
      </c>
      <c r="C79" s="96" t="s">
        <v>39</v>
      </c>
      <c r="D79" s="83">
        <f>50000-19144</f>
        <v>30856</v>
      </c>
      <c r="E79" s="48" t="s">
        <v>14</v>
      </c>
      <c r="F79" s="35" t="s">
        <v>12</v>
      </c>
      <c r="G79" s="35" t="s">
        <v>24</v>
      </c>
      <c r="H79" s="36" t="s">
        <v>13</v>
      </c>
      <c r="I79" s="7"/>
      <c r="J79" s="30"/>
    </row>
    <row r="80" spans="1:10" s="21" customFormat="1" ht="23.25" customHeight="1" x14ac:dyDescent="0.2">
      <c r="A80" s="48">
        <v>69</v>
      </c>
      <c r="B80" s="96"/>
      <c r="C80" s="96"/>
      <c r="D80" s="83">
        <v>1000</v>
      </c>
      <c r="E80" s="48" t="s">
        <v>10</v>
      </c>
      <c r="F80" s="35" t="s">
        <v>12</v>
      </c>
      <c r="G80" s="35" t="s">
        <v>24</v>
      </c>
      <c r="H80" s="36" t="s">
        <v>18</v>
      </c>
      <c r="I80" s="7"/>
      <c r="J80" s="30"/>
    </row>
    <row r="81" spans="1:10" s="21" customFormat="1" ht="27.75" customHeight="1" x14ac:dyDescent="0.2">
      <c r="A81" s="48">
        <v>70</v>
      </c>
      <c r="B81" s="96"/>
      <c r="C81" s="96"/>
      <c r="D81" s="83">
        <v>1500</v>
      </c>
      <c r="E81" s="48" t="s">
        <v>10</v>
      </c>
      <c r="F81" s="35" t="s">
        <v>12</v>
      </c>
      <c r="G81" s="35" t="s">
        <v>24</v>
      </c>
      <c r="H81" s="36"/>
      <c r="I81" s="7"/>
      <c r="J81" s="30"/>
    </row>
    <row r="82" spans="1:10" s="22" customFormat="1" ht="27.75" customHeight="1" x14ac:dyDescent="0.2">
      <c r="A82" s="48">
        <v>71</v>
      </c>
      <c r="B82" s="96"/>
      <c r="C82" s="96"/>
      <c r="D82" s="83">
        <f>20000-800</f>
        <v>19200</v>
      </c>
      <c r="E82" s="48" t="s">
        <v>10</v>
      </c>
      <c r="F82" s="35" t="s">
        <v>12</v>
      </c>
      <c r="G82" s="35" t="s">
        <v>24</v>
      </c>
      <c r="H82" s="36" t="s">
        <v>63</v>
      </c>
      <c r="I82" s="30"/>
      <c r="J82" s="30"/>
    </row>
    <row r="83" spans="1:10" s="30" customFormat="1" ht="28.5" customHeight="1" x14ac:dyDescent="0.2">
      <c r="A83" s="48">
        <v>72</v>
      </c>
      <c r="B83" s="47">
        <v>65200000</v>
      </c>
      <c r="C83" s="47" t="s">
        <v>92</v>
      </c>
      <c r="D83" s="84">
        <v>2050</v>
      </c>
      <c r="E83" s="48" t="s">
        <v>10</v>
      </c>
      <c r="F83" s="35" t="s">
        <v>94</v>
      </c>
      <c r="G83" s="35" t="s">
        <v>95</v>
      </c>
      <c r="H83" s="36"/>
    </row>
    <row r="84" spans="1:10" s="21" customFormat="1" ht="23.25" customHeight="1" x14ac:dyDescent="0.2">
      <c r="A84" s="48">
        <v>73</v>
      </c>
      <c r="B84" s="96">
        <v>66500000</v>
      </c>
      <c r="C84" s="96" t="s">
        <v>33</v>
      </c>
      <c r="D84" s="88">
        <v>100000</v>
      </c>
      <c r="E84" s="48" t="s">
        <v>14</v>
      </c>
      <c r="F84" s="35" t="s">
        <v>12</v>
      </c>
      <c r="G84" s="35" t="s">
        <v>24</v>
      </c>
      <c r="H84" s="36" t="s">
        <v>13</v>
      </c>
      <c r="I84" s="6"/>
      <c r="J84" s="30"/>
    </row>
    <row r="85" spans="1:10" s="21" customFormat="1" ht="24.75" customHeight="1" x14ac:dyDescent="0.2">
      <c r="A85" s="48">
        <v>74</v>
      </c>
      <c r="B85" s="96"/>
      <c r="C85" s="96"/>
      <c r="D85" s="88">
        <v>100000</v>
      </c>
      <c r="E85" s="48" t="s">
        <v>25</v>
      </c>
      <c r="F85" s="35" t="s">
        <v>12</v>
      </c>
      <c r="G85" s="35" t="s">
        <v>24</v>
      </c>
      <c r="H85" s="36" t="s">
        <v>68</v>
      </c>
      <c r="I85" s="6"/>
      <c r="J85" s="30"/>
    </row>
    <row r="86" spans="1:10" s="30" customFormat="1" ht="30.75" customHeight="1" x14ac:dyDescent="0.2">
      <c r="A86" s="48">
        <v>75</v>
      </c>
      <c r="B86" s="48">
        <v>71200000</v>
      </c>
      <c r="C86" s="48" t="s">
        <v>96</v>
      </c>
      <c r="D86" s="84">
        <f>4710-2185</f>
        <v>2525</v>
      </c>
      <c r="E86" s="48" t="s">
        <v>10</v>
      </c>
      <c r="F86" s="35" t="s">
        <v>94</v>
      </c>
      <c r="G86" s="35" t="s">
        <v>95</v>
      </c>
      <c r="H86" s="36"/>
      <c r="I86" s="6"/>
    </row>
    <row r="87" spans="1:10" s="30" customFormat="1" ht="30.75" customHeight="1" x14ac:dyDescent="0.2">
      <c r="A87" s="48">
        <v>76</v>
      </c>
      <c r="B87" s="98">
        <v>71300000</v>
      </c>
      <c r="C87" s="98" t="s">
        <v>93</v>
      </c>
      <c r="D87" s="84">
        <f>4900-1799</f>
        <v>3101</v>
      </c>
      <c r="E87" s="48" t="s">
        <v>10</v>
      </c>
      <c r="F87" s="35" t="s">
        <v>94</v>
      </c>
      <c r="G87" s="35" t="s">
        <v>95</v>
      </c>
      <c r="H87" s="36"/>
      <c r="I87" s="6"/>
    </row>
    <row r="88" spans="1:10" s="30" customFormat="1" ht="30.75" customHeight="1" x14ac:dyDescent="0.2">
      <c r="A88" s="48">
        <v>77</v>
      </c>
      <c r="B88" s="99"/>
      <c r="C88" s="99"/>
      <c r="D88" s="83">
        <f>400-400</f>
        <v>0</v>
      </c>
      <c r="E88" s="48" t="s">
        <v>10</v>
      </c>
      <c r="F88" s="35" t="s">
        <v>99</v>
      </c>
      <c r="G88" s="35" t="s">
        <v>100</v>
      </c>
      <c r="H88" s="36"/>
      <c r="I88" s="6"/>
    </row>
    <row r="89" spans="1:10" s="21" customFormat="1" ht="30" customHeight="1" x14ac:dyDescent="0.2">
      <c r="A89" s="48">
        <v>78</v>
      </c>
      <c r="B89" s="97">
        <v>72200000</v>
      </c>
      <c r="C89" s="96" t="s">
        <v>56</v>
      </c>
      <c r="D89" s="83">
        <f>158635-1020</f>
        <v>157615</v>
      </c>
      <c r="E89" s="48" t="s">
        <v>10</v>
      </c>
      <c r="F89" s="35" t="s">
        <v>12</v>
      </c>
      <c r="G89" s="35" t="s">
        <v>24</v>
      </c>
      <c r="H89" s="36" t="s">
        <v>17</v>
      </c>
      <c r="I89" s="7"/>
      <c r="J89" s="30"/>
    </row>
    <row r="90" spans="1:10" s="22" customFormat="1" ht="25.5" customHeight="1" x14ac:dyDescent="0.2">
      <c r="A90" s="48">
        <v>79</v>
      </c>
      <c r="B90" s="97"/>
      <c r="C90" s="96"/>
      <c r="D90" s="83">
        <f>8000-3000</f>
        <v>5000</v>
      </c>
      <c r="E90" s="48" t="s">
        <v>10</v>
      </c>
      <c r="F90" s="35" t="s">
        <v>12</v>
      </c>
      <c r="G90" s="35" t="s">
        <v>24</v>
      </c>
      <c r="H90" s="36" t="s">
        <v>16</v>
      </c>
      <c r="I90" s="7"/>
      <c r="J90" s="30"/>
    </row>
    <row r="91" spans="1:10" s="21" customFormat="1" ht="25.5" customHeight="1" x14ac:dyDescent="0.2">
      <c r="A91" s="48">
        <v>80</v>
      </c>
      <c r="B91" s="48">
        <v>72400000</v>
      </c>
      <c r="C91" s="48" t="s">
        <v>30</v>
      </c>
      <c r="D91" s="83">
        <f>268085+4505</f>
        <v>272590</v>
      </c>
      <c r="E91" s="48" t="s">
        <v>32</v>
      </c>
      <c r="F91" s="35" t="s">
        <v>12</v>
      </c>
      <c r="G91" s="35" t="s">
        <v>24</v>
      </c>
      <c r="H91" s="36" t="s">
        <v>16</v>
      </c>
      <c r="I91" s="7"/>
      <c r="J91" s="30"/>
    </row>
    <row r="92" spans="1:10" s="21" customFormat="1" ht="47.25" customHeight="1" x14ac:dyDescent="0.2">
      <c r="A92" s="48">
        <v>81</v>
      </c>
      <c r="B92" s="48">
        <v>75100000</v>
      </c>
      <c r="C92" s="48" t="s">
        <v>46</v>
      </c>
      <c r="D92" s="83">
        <f>8800+575</f>
        <v>9375</v>
      </c>
      <c r="E92" s="48" t="s">
        <v>10</v>
      </c>
      <c r="F92" s="35" t="s">
        <v>12</v>
      </c>
      <c r="G92" s="35" t="s">
        <v>24</v>
      </c>
      <c r="H92" s="36" t="s">
        <v>17</v>
      </c>
      <c r="I92" s="6"/>
      <c r="J92" s="30"/>
    </row>
    <row r="93" spans="1:10" s="30" customFormat="1" ht="28.5" customHeight="1" x14ac:dyDescent="0.2">
      <c r="A93" s="48">
        <v>82</v>
      </c>
      <c r="B93" s="48">
        <v>75200000</v>
      </c>
      <c r="C93" s="48" t="s">
        <v>101</v>
      </c>
      <c r="D93" s="84">
        <v>500</v>
      </c>
      <c r="E93" s="48" t="s">
        <v>10</v>
      </c>
      <c r="F93" s="35" t="s">
        <v>99</v>
      </c>
      <c r="G93" s="35" t="s">
        <v>100</v>
      </c>
      <c r="H93" s="36"/>
      <c r="I93" s="7"/>
    </row>
    <row r="94" spans="1:10" s="30" customFormat="1" ht="30.75" customHeight="1" x14ac:dyDescent="0.2">
      <c r="A94" s="48">
        <v>83</v>
      </c>
      <c r="B94" s="48">
        <v>77100000</v>
      </c>
      <c r="C94" s="48" t="s">
        <v>97</v>
      </c>
      <c r="D94" s="83">
        <f>3800-3800</f>
        <v>0</v>
      </c>
      <c r="E94" s="48" t="s">
        <v>10</v>
      </c>
      <c r="F94" s="35" t="s">
        <v>94</v>
      </c>
      <c r="G94" s="35" t="s">
        <v>95</v>
      </c>
      <c r="H94" s="36"/>
      <c r="I94" s="6"/>
    </row>
    <row r="95" spans="1:10" s="21" customFormat="1" ht="36" customHeight="1" x14ac:dyDescent="0.2">
      <c r="A95" s="48">
        <v>84</v>
      </c>
      <c r="B95" s="48">
        <v>77200000</v>
      </c>
      <c r="C95" s="48" t="s">
        <v>27</v>
      </c>
      <c r="D95" s="83">
        <f>644000+119947</f>
        <v>763947</v>
      </c>
      <c r="E95" s="48" t="s">
        <v>25</v>
      </c>
      <c r="F95" s="35" t="s">
        <v>12</v>
      </c>
      <c r="G95" s="35" t="s">
        <v>24</v>
      </c>
      <c r="H95" s="36"/>
      <c r="I95" s="6"/>
      <c r="J95" s="30"/>
    </row>
    <row r="96" spans="1:10" s="30" customFormat="1" ht="30" customHeight="1" x14ac:dyDescent="0.2">
      <c r="A96" s="48">
        <v>85</v>
      </c>
      <c r="B96" s="48">
        <v>79500000</v>
      </c>
      <c r="C96" s="48" t="s">
        <v>79</v>
      </c>
      <c r="D96" s="83">
        <f>600-600</f>
        <v>0</v>
      </c>
      <c r="E96" s="48" t="s">
        <v>10</v>
      </c>
      <c r="F96" s="35" t="s">
        <v>12</v>
      </c>
      <c r="G96" s="35" t="s">
        <v>24</v>
      </c>
      <c r="H96" s="36"/>
      <c r="I96" s="6"/>
    </row>
    <row r="97" spans="1:11" s="21" customFormat="1" ht="36" customHeight="1" x14ac:dyDescent="0.2">
      <c r="A97" s="48">
        <v>86</v>
      </c>
      <c r="B97" s="48">
        <v>79700000</v>
      </c>
      <c r="C97" s="48" t="s">
        <v>28</v>
      </c>
      <c r="D97" s="83">
        <f>186150-8986</f>
        <v>177164</v>
      </c>
      <c r="E97" s="48" t="s">
        <v>10</v>
      </c>
      <c r="F97" s="35" t="s">
        <v>12</v>
      </c>
      <c r="G97" s="35" t="s">
        <v>24</v>
      </c>
      <c r="H97" s="36" t="s">
        <v>18</v>
      </c>
      <c r="I97" s="6"/>
      <c r="J97" s="30"/>
    </row>
    <row r="98" spans="1:11" s="30" customFormat="1" ht="35.25" customHeight="1" x14ac:dyDescent="0.2">
      <c r="A98" s="48">
        <v>87</v>
      </c>
      <c r="B98" s="48">
        <v>79900000</v>
      </c>
      <c r="C98" s="48" t="s">
        <v>75</v>
      </c>
      <c r="D98" s="83">
        <f>4900-4900</f>
        <v>0</v>
      </c>
      <c r="E98" s="48" t="s">
        <v>10</v>
      </c>
      <c r="F98" s="35" t="s">
        <v>12</v>
      </c>
      <c r="G98" s="35" t="s">
        <v>24</v>
      </c>
      <c r="H98" s="36"/>
      <c r="I98" s="6"/>
    </row>
    <row r="99" spans="1:11" s="21" customFormat="1" ht="28.5" customHeight="1" x14ac:dyDescent="0.2">
      <c r="A99" s="48">
        <v>88</v>
      </c>
      <c r="B99" s="48">
        <v>90900000</v>
      </c>
      <c r="C99" s="48" t="s">
        <v>53</v>
      </c>
      <c r="D99" s="83">
        <f>32000-4900</f>
        <v>27100</v>
      </c>
      <c r="E99" s="48" t="s">
        <v>25</v>
      </c>
      <c r="F99" s="35" t="s">
        <v>12</v>
      </c>
      <c r="G99" s="35" t="s">
        <v>24</v>
      </c>
      <c r="H99" s="36"/>
      <c r="I99" s="6"/>
      <c r="J99" s="30"/>
      <c r="K99" s="8"/>
    </row>
    <row r="100" spans="1:11" s="21" customFormat="1" ht="27.75" customHeight="1" x14ac:dyDescent="0.2">
      <c r="A100" s="48">
        <v>89</v>
      </c>
      <c r="B100" s="98">
        <v>92200000</v>
      </c>
      <c r="C100" s="98" t="s">
        <v>31</v>
      </c>
      <c r="D100" s="83">
        <f>5750-1148</f>
        <v>4602</v>
      </c>
      <c r="E100" s="48" t="s">
        <v>10</v>
      </c>
      <c r="F100" s="35" t="s">
        <v>12</v>
      </c>
      <c r="G100" s="35" t="s">
        <v>24</v>
      </c>
      <c r="H100" s="36"/>
      <c r="I100" s="6"/>
      <c r="J100" s="30"/>
    </row>
    <row r="101" spans="1:11" s="30" customFormat="1" ht="25.5" customHeight="1" x14ac:dyDescent="0.2">
      <c r="A101" s="48">
        <v>90</v>
      </c>
      <c r="B101" s="99"/>
      <c r="C101" s="99"/>
      <c r="D101" s="83">
        <f>74500-2300</f>
        <v>72200</v>
      </c>
      <c r="E101" s="48" t="s">
        <v>14</v>
      </c>
      <c r="F101" s="35" t="s">
        <v>94</v>
      </c>
      <c r="G101" s="35" t="s">
        <v>95</v>
      </c>
      <c r="H101" s="36" t="s">
        <v>13</v>
      </c>
      <c r="I101" s="6"/>
    </row>
    <row r="102" spans="1:11" s="21" customFormat="1" ht="30.75" customHeight="1" x14ac:dyDescent="0.2">
      <c r="A102" s="48">
        <v>91</v>
      </c>
      <c r="B102" s="48">
        <v>92400000</v>
      </c>
      <c r="C102" s="48" t="s">
        <v>48</v>
      </c>
      <c r="D102" s="83">
        <v>4800</v>
      </c>
      <c r="E102" s="48" t="s">
        <v>10</v>
      </c>
      <c r="F102" s="35" t="s">
        <v>12</v>
      </c>
      <c r="G102" s="35" t="s">
        <v>24</v>
      </c>
      <c r="H102" s="36"/>
      <c r="I102" s="6"/>
      <c r="J102" s="30"/>
    </row>
    <row r="103" spans="1:11" s="21" customFormat="1" ht="31.5" customHeight="1" x14ac:dyDescent="0.2">
      <c r="A103" s="48">
        <v>92</v>
      </c>
      <c r="B103" s="48">
        <v>92500000</v>
      </c>
      <c r="C103" s="48" t="s">
        <v>37</v>
      </c>
      <c r="D103" s="83">
        <f>42000-382</f>
        <v>41618</v>
      </c>
      <c r="E103" s="48" t="s">
        <v>10</v>
      </c>
      <c r="F103" s="35" t="s">
        <v>12</v>
      </c>
      <c r="G103" s="35" t="s">
        <v>24</v>
      </c>
      <c r="H103" s="36" t="s">
        <v>17</v>
      </c>
      <c r="I103" s="6"/>
      <c r="J103" s="30"/>
    </row>
    <row r="104" spans="1:11" x14ac:dyDescent="0.2">
      <c r="C104" s="49"/>
      <c r="D104" s="32"/>
      <c r="E104" s="19"/>
      <c r="F104" s="33"/>
      <c r="G104" s="43"/>
    </row>
    <row r="105" spans="1:11" ht="27.75" customHeight="1" x14ac:dyDescent="0.2">
      <c r="A105" s="30"/>
      <c r="B105" s="100" t="s">
        <v>54</v>
      </c>
      <c r="C105" s="100"/>
      <c r="D105" s="34"/>
      <c r="E105" s="19"/>
      <c r="F105" s="19"/>
      <c r="I105" s="30"/>
    </row>
    <row r="106" spans="1:11" ht="13.5" customHeight="1" x14ac:dyDescent="0.2">
      <c r="A106" s="30"/>
      <c r="B106" s="30"/>
      <c r="D106" s="4"/>
      <c r="E106" s="95" t="s">
        <v>9</v>
      </c>
      <c r="F106" s="95"/>
      <c r="I106" s="30"/>
    </row>
    <row r="107" spans="1:11" ht="15" customHeight="1" x14ac:dyDescent="0.2">
      <c r="A107" s="30"/>
      <c r="B107" s="30"/>
      <c r="H107" s="19"/>
      <c r="I107" s="30"/>
    </row>
    <row r="108" spans="1:11" ht="31.5" customHeight="1" x14ac:dyDescent="0.2">
      <c r="A108" s="30"/>
      <c r="B108" s="100" t="s">
        <v>20</v>
      </c>
      <c r="C108" s="100"/>
      <c r="D108" s="50"/>
      <c r="H108" s="19"/>
      <c r="I108" s="30"/>
    </row>
    <row r="109" spans="1:11" x14ac:dyDescent="0.2">
      <c r="A109" s="30"/>
      <c r="B109" s="30"/>
      <c r="E109" s="95" t="s">
        <v>9</v>
      </c>
      <c r="F109" s="95"/>
      <c r="I109" s="30"/>
    </row>
    <row r="111" spans="1:11" ht="50.25" customHeight="1" x14ac:dyDescent="0.2">
      <c r="A111" s="30"/>
      <c r="B111" s="30"/>
    </row>
    <row r="115" spans="1:14" x14ac:dyDescent="0.2">
      <c r="A115" s="30"/>
      <c r="B115" s="30"/>
      <c r="I115" s="30"/>
      <c r="M115" s="1"/>
      <c r="N115" s="1"/>
    </row>
    <row r="116" spans="1:14" x14ac:dyDescent="0.2">
      <c r="A116" s="30"/>
      <c r="B116" s="30"/>
      <c r="C116" s="49"/>
      <c r="I116" s="30"/>
      <c r="M116" s="1"/>
      <c r="N116" s="1"/>
    </row>
    <row r="117" spans="1:14" x14ac:dyDescent="0.2">
      <c r="A117" s="30"/>
      <c r="B117" s="30"/>
      <c r="C117" s="49"/>
      <c r="E117" s="49"/>
      <c r="I117" s="30"/>
      <c r="M117" s="1"/>
      <c r="N117" s="1"/>
    </row>
    <row r="118" spans="1:14" ht="19.5" customHeight="1" x14ac:dyDescent="0.2">
      <c r="A118" s="30"/>
      <c r="B118" s="30"/>
      <c r="C118" s="49"/>
      <c r="I118" s="30"/>
      <c r="M118" s="1"/>
      <c r="N118" s="1"/>
    </row>
    <row r="119" spans="1:14" x14ac:dyDescent="0.2">
      <c r="A119" s="30"/>
      <c r="B119" s="30"/>
      <c r="I119" s="30"/>
      <c r="M119" s="1"/>
      <c r="N119" s="1"/>
    </row>
    <row r="120" spans="1:14" ht="24.75" customHeight="1" x14ac:dyDescent="0.2">
      <c r="A120" s="30"/>
      <c r="B120" s="30"/>
      <c r="C120" s="19"/>
      <c r="I120" s="30"/>
      <c r="M120" s="1"/>
      <c r="N120" s="1"/>
    </row>
    <row r="121" spans="1:14" ht="22.5" customHeight="1" x14ac:dyDescent="0.2">
      <c r="A121" s="30"/>
      <c r="B121" s="30"/>
      <c r="I121" s="30"/>
      <c r="M121" s="1"/>
      <c r="N121" s="1"/>
    </row>
    <row r="122" spans="1:14" x14ac:dyDescent="0.2">
      <c r="A122" s="30"/>
      <c r="B122" s="30"/>
      <c r="C122" s="5"/>
      <c r="I122" s="30"/>
      <c r="M122" s="1"/>
      <c r="N122" s="1"/>
    </row>
    <row r="129" spans="1:2" x14ac:dyDescent="0.2">
      <c r="A129" s="30"/>
      <c r="B129" s="30"/>
    </row>
  </sheetData>
  <sheetProtection algorithmName="SHA-512" hashValue="lrlTxPgswRwWi+fYASwWJV7oPFYRVk3XxEjwM4//y/CyjgZZ0TUqiiQYqP2wMZCF7pt1Q2ayt6xBLRnRKADs3Q==" saltValue="VAKwLkaLPqDy595ZdHK6xw==" spinCount="100000" sheet="1" objects="1" scenarios="1"/>
  <mergeCells count="47">
    <mergeCell ref="B32:B33"/>
    <mergeCell ref="C32:C33"/>
    <mergeCell ref="B41:B42"/>
    <mergeCell ref="C41:C42"/>
    <mergeCell ref="B44:B45"/>
    <mergeCell ref="C44:C45"/>
    <mergeCell ref="B35:B36"/>
    <mergeCell ref="C35:C36"/>
    <mergeCell ref="A8:H8"/>
    <mergeCell ref="A9:H9"/>
    <mergeCell ref="B27:B28"/>
    <mergeCell ref="C27:C28"/>
    <mergeCell ref="B29:B31"/>
    <mergeCell ref="C29:C31"/>
    <mergeCell ref="B21:B22"/>
    <mergeCell ref="C21:C22"/>
    <mergeCell ref="C3:G3"/>
    <mergeCell ref="A4:E5"/>
    <mergeCell ref="F4:H4"/>
    <mergeCell ref="F5:H5"/>
    <mergeCell ref="A6:E6"/>
    <mergeCell ref="F6:H7"/>
    <mergeCell ref="A7:E7"/>
    <mergeCell ref="B48:B50"/>
    <mergeCell ref="C48:C50"/>
    <mergeCell ref="B105:C105"/>
    <mergeCell ref="B108:C108"/>
    <mergeCell ref="B69:B72"/>
    <mergeCell ref="C69:C72"/>
    <mergeCell ref="B51:B53"/>
    <mergeCell ref="C51:C53"/>
    <mergeCell ref="B64:B65"/>
    <mergeCell ref="C64:C65"/>
    <mergeCell ref="B57:B59"/>
    <mergeCell ref="C57:C59"/>
    <mergeCell ref="E106:F106"/>
    <mergeCell ref="E109:F109"/>
    <mergeCell ref="B79:B82"/>
    <mergeCell ref="C79:C82"/>
    <mergeCell ref="B89:B90"/>
    <mergeCell ref="C89:C90"/>
    <mergeCell ref="B84:B85"/>
    <mergeCell ref="C84:C85"/>
    <mergeCell ref="B100:B101"/>
    <mergeCell ref="C100:C101"/>
    <mergeCell ref="B87:B88"/>
    <mergeCell ref="C87:C88"/>
  </mergeCells>
  <phoneticPr fontId="1" type="noConversion"/>
  <pageMargins left="0.25" right="0" top="0.5" bottom="0" header="1.3" footer="1.3"/>
  <pageSetup paperSize="9" scale="64" orientation="portrait" r:id="rId1"/>
  <headerFooter alignWithMargins="0"/>
  <rowBreaks count="1" manualBreakCount="1">
    <brk id="90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5"/>
  <sheetViews>
    <sheetView zoomScaleNormal="100" workbookViewId="0">
      <selection activeCell="F14" sqref="F14"/>
    </sheetView>
  </sheetViews>
  <sheetFormatPr defaultRowHeight="13.5" x14ac:dyDescent="0.2"/>
  <cols>
    <col min="1" max="1" width="3.85546875" style="57" customWidth="1"/>
    <col min="2" max="2" width="10" style="57" customWidth="1"/>
    <col min="3" max="3" width="53.7109375" style="30" customWidth="1"/>
    <col min="4" max="4" width="11.7109375" style="3" customWidth="1"/>
    <col min="5" max="5" width="10.42578125" style="30" customWidth="1"/>
    <col min="6" max="6" width="12.5703125" style="30" customWidth="1"/>
    <col min="7" max="7" width="16.42578125" style="30" customWidth="1"/>
    <col min="8" max="8" width="22.7109375" style="30" customWidth="1"/>
    <col min="9" max="16384" width="9.140625" style="2"/>
  </cols>
  <sheetData>
    <row r="1" spans="1:9" ht="18" customHeight="1" x14ac:dyDescent="0.2"/>
    <row r="2" spans="1:9" s="10" customFormat="1" ht="23.25" customHeight="1" x14ac:dyDescent="0.2">
      <c r="A2" s="30"/>
      <c r="B2" s="30"/>
      <c r="C2" s="30"/>
      <c r="D2" s="3"/>
      <c r="E2" s="30"/>
      <c r="F2" s="30"/>
      <c r="G2" s="30"/>
      <c r="H2" s="17" t="s">
        <v>108</v>
      </c>
    </row>
    <row r="3" spans="1:9" s="10" customFormat="1" ht="20.25" customHeight="1" x14ac:dyDescent="0.2">
      <c r="A3" s="30"/>
      <c r="B3" s="30"/>
      <c r="C3" s="105" t="s">
        <v>26</v>
      </c>
      <c r="D3" s="105"/>
      <c r="E3" s="105"/>
      <c r="F3" s="105"/>
      <c r="G3" s="105"/>
      <c r="H3" s="30"/>
      <c r="I3" s="60"/>
    </row>
    <row r="4" spans="1:9" s="10" customFormat="1" ht="26.25" customHeight="1" x14ac:dyDescent="0.2">
      <c r="A4" s="132" t="s">
        <v>109</v>
      </c>
      <c r="B4" s="133"/>
      <c r="C4" s="133"/>
      <c r="D4" s="133"/>
      <c r="E4" s="134"/>
      <c r="F4" s="106" t="s">
        <v>7</v>
      </c>
      <c r="G4" s="107"/>
      <c r="H4" s="108"/>
      <c r="I4" s="61"/>
    </row>
    <row r="5" spans="1:9" s="10" customFormat="1" ht="18.75" customHeight="1" x14ac:dyDescent="0.2">
      <c r="A5" s="135"/>
      <c r="B5" s="136"/>
      <c r="C5" s="136"/>
      <c r="D5" s="136"/>
      <c r="E5" s="137"/>
      <c r="F5" s="115">
        <v>204578581</v>
      </c>
      <c r="G5" s="116"/>
      <c r="H5" s="117"/>
    </row>
    <row r="6" spans="1:9" s="10" customFormat="1" ht="22.5" customHeight="1" x14ac:dyDescent="0.2">
      <c r="A6" s="106" t="s">
        <v>8</v>
      </c>
      <c r="B6" s="107"/>
      <c r="C6" s="107"/>
      <c r="D6" s="107"/>
      <c r="E6" s="108"/>
      <c r="F6" s="106" t="s">
        <v>110</v>
      </c>
      <c r="G6" s="118"/>
      <c r="H6" s="119"/>
    </row>
    <row r="7" spans="1:9" s="10" customFormat="1" ht="21.75" customHeight="1" x14ac:dyDescent="0.2">
      <c r="A7" s="115" t="s">
        <v>21</v>
      </c>
      <c r="B7" s="116"/>
      <c r="C7" s="116"/>
      <c r="D7" s="116"/>
      <c r="E7" s="117"/>
      <c r="F7" s="120"/>
      <c r="G7" s="121"/>
      <c r="H7" s="122"/>
    </row>
    <row r="8" spans="1:9" s="10" customFormat="1" ht="21" customHeight="1" x14ac:dyDescent="0.2">
      <c r="A8" s="106" t="s">
        <v>15</v>
      </c>
      <c r="B8" s="107"/>
      <c r="C8" s="107"/>
      <c r="D8" s="107"/>
      <c r="E8" s="107"/>
      <c r="F8" s="107"/>
      <c r="G8" s="107"/>
      <c r="H8" s="108"/>
    </row>
    <row r="9" spans="1:9" s="57" customFormat="1" ht="15.75" customHeight="1" x14ac:dyDescent="0.2">
      <c r="A9" s="128">
        <f>22276750-37600</f>
        <v>22239150</v>
      </c>
      <c r="B9" s="129"/>
      <c r="C9" s="129"/>
      <c r="D9" s="129"/>
      <c r="E9" s="129"/>
      <c r="F9" s="129"/>
      <c r="G9" s="129"/>
      <c r="H9" s="129"/>
    </row>
    <row r="10" spans="1:9" s="62" customFormat="1" ht="57" customHeight="1" x14ac:dyDescent="0.2">
      <c r="A10" s="53" t="s">
        <v>1</v>
      </c>
      <c r="B10" s="53" t="s">
        <v>2</v>
      </c>
      <c r="C10" s="53" t="s">
        <v>3</v>
      </c>
      <c r="D10" s="18" t="s">
        <v>38</v>
      </c>
      <c r="E10" s="53" t="s">
        <v>4</v>
      </c>
      <c r="F10" s="53" t="s">
        <v>5</v>
      </c>
      <c r="G10" s="53" t="s">
        <v>6</v>
      </c>
      <c r="H10" s="53" t="s">
        <v>0</v>
      </c>
    </row>
    <row r="11" spans="1:9" s="62" customFormat="1" ht="15" customHeight="1" x14ac:dyDescent="0.2">
      <c r="A11" s="53">
        <v>1</v>
      </c>
      <c r="B11" s="53">
        <v>2</v>
      </c>
      <c r="C11" s="53">
        <v>3</v>
      </c>
      <c r="D11" s="14">
        <v>4</v>
      </c>
      <c r="E11" s="53">
        <v>5</v>
      </c>
      <c r="F11" s="53">
        <v>6</v>
      </c>
      <c r="G11" s="53">
        <v>7</v>
      </c>
      <c r="H11" s="53">
        <v>8</v>
      </c>
    </row>
    <row r="12" spans="1:9" s="30" customFormat="1" ht="24.75" customHeight="1" x14ac:dyDescent="0.2">
      <c r="A12" s="53">
        <v>1</v>
      </c>
      <c r="B12" s="55" t="s">
        <v>89</v>
      </c>
      <c r="C12" s="54" t="s">
        <v>90</v>
      </c>
      <c r="D12" s="83">
        <v>3000</v>
      </c>
      <c r="E12" s="53" t="s">
        <v>10</v>
      </c>
      <c r="F12" s="35" t="s">
        <v>99</v>
      </c>
      <c r="G12" s="35" t="s">
        <v>100</v>
      </c>
      <c r="H12" s="36"/>
    </row>
    <row r="13" spans="1:9" s="30" customFormat="1" ht="33" customHeight="1" x14ac:dyDescent="0.2">
      <c r="A13" s="53">
        <v>2</v>
      </c>
      <c r="B13" s="35" t="s">
        <v>34</v>
      </c>
      <c r="C13" s="53" t="s">
        <v>35</v>
      </c>
      <c r="D13" s="83">
        <f>728171+60000</f>
        <v>788171</v>
      </c>
      <c r="E13" s="53" t="s">
        <v>14</v>
      </c>
      <c r="F13" s="35" t="s">
        <v>12</v>
      </c>
      <c r="G13" s="35" t="s">
        <v>24</v>
      </c>
      <c r="H13" s="36"/>
    </row>
    <row r="14" spans="1:9" s="30" customFormat="1" ht="35.25" customHeight="1" x14ac:dyDescent="0.2">
      <c r="A14" s="53">
        <v>3</v>
      </c>
      <c r="B14" s="130" t="s">
        <v>111</v>
      </c>
      <c r="C14" s="98" t="s">
        <v>50</v>
      </c>
      <c r="D14" s="83">
        <f>4990+5000</f>
        <v>9990</v>
      </c>
      <c r="E14" s="53" t="s">
        <v>10</v>
      </c>
      <c r="F14" s="35" t="s">
        <v>12</v>
      </c>
      <c r="G14" s="35" t="s">
        <v>24</v>
      </c>
      <c r="H14" s="36"/>
    </row>
    <row r="15" spans="1:9" s="30" customFormat="1" ht="35.25" customHeight="1" x14ac:dyDescent="0.2">
      <c r="A15" s="53">
        <v>4</v>
      </c>
      <c r="B15" s="131"/>
      <c r="C15" s="99"/>
      <c r="D15" s="83">
        <v>31260</v>
      </c>
      <c r="E15" s="53" t="s">
        <v>14</v>
      </c>
      <c r="F15" s="35" t="s">
        <v>12</v>
      </c>
      <c r="G15" s="35" t="s">
        <v>24</v>
      </c>
      <c r="H15" s="36"/>
    </row>
    <row r="16" spans="1:9" s="30" customFormat="1" ht="37.5" customHeight="1" x14ac:dyDescent="0.2">
      <c r="A16" s="53">
        <v>5</v>
      </c>
      <c r="B16" s="55" t="s">
        <v>112</v>
      </c>
      <c r="C16" s="54" t="s">
        <v>113</v>
      </c>
      <c r="D16" s="84">
        <v>75000</v>
      </c>
      <c r="E16" s="53" t="s">
        <v>25</v>
      </c>
      <c r="F16" s="35" t="s">
        <v>104</v>
      </c>
      <c r="G16" s="35" t="s">
        <v>104</v>
      </c>
      <c r="H16" s="36"/>
    </row>
    <row r="17" spans="1:10" s="9" customFormat="1" ht="33" customHeight="1" x14ac:dyDescent="0.2">
      <c r="A17" s="53">
        <v>6</v>
      </c>
      <c r="B17" s="44">
        <v>15900000</v>
      </c>
      <c r="C17" s="53" t="s">
        <v>62</v>
      </c>
      <c r="D17" s="83">
        <f>300+3500</f>
        <v>3800</v>
      </c>
      <c r="E17" s="53" t="s">
        <v>10</v>
      </c>
      <c r="F17" s="35" t="s">
        <v>12</v>
      </c>
      <c r="G17" s="35" t="s">
        <v>24</v>
      </c>
      <c r="H17" s="36"/>
      <c r="I17" s="7"/>
    </row>
    <row r="18" spans="1:10" s="30" customFormat="1" ht="30.75" customHeight="1" x14ac:dyDescent="0.2">
      <c r="A18" s="53">
        <v>7</v>
      </c>
      <c r="B18" s="55">
        <v>16300000</v>
      </c>
      <c r="C18" s="54" t="s">
        <v>114</v>
      </c>
      <c r="D18" s="84">
        <f>2000+7560</f>
        <v>9560</v>
      </c>
      <c r="E18" s="53" t="s">
        <v>10</v>
      </c>
      <c r="F18" s="35" t="s">
        <v>99</v>
      </c>
      <c r="G18" s="35" t="s">
        <v>100</v>
      </c>
      <c r="H18" s="36"/>
    </row>
    <row r="19" spans="1:10" s="30" customFormat="1" ht="38.25" customHeight="1" x14ac:dyDescent="0.2">
      <c r="A19" s="53">
        <v>8</v>
      </c>
      <c r="B19" s="98">
        <v>16800000</v>
      </c>
      <c r="C19" s="98" t="s">
        <v>91</v>
      </c>
      <c r="D19" s="83">
        <v>2000</v>
      </c>
      <c r="E19" s="53" t="s">
        <v>10</v>
      </c>
      <c r="F19" s="35" t="s">
        <v>12</v>
      </c>
      <c r="G19" s="35" t="s">
        <v>24</v>
      </c>
      <c r="H19" s="36"/>
    </row>
    <row r="20" spans="1:10" s="30" customFormat="1" ht="38.25" customHeight="1" x14ac:dyDescent="0.2">
      <c r="A20" s="53">
        <v>9</v>
      </c>
      <c r="B20" s="99"/>
      <c r="C20" s="99"/>
      <c r="D20" s="84">
        <v>1870</v>
      </c>
      <c r="E20" s="53" t="s">
        <v>10</v>
      </c>
      <c r="F20" s="35" t="s">
        <v>12</v>
      </c>
      <c r="G20" s="35" t="s">
        <v>24</v>
      </c>
      <c r="H20" s="36"/>
    </row>
    <row r="21" spans="1:10" s="30" customFormat="1" ht="38.25" customHeight="1" x14ac:dyDescent="0.2">
      <c r="A21" s="53">
        <v>10</v>
      </c>
      <c r="B21" s="53">
        <v>18100000</v>
      </c>
      <c r="C21" s="53" t="s">
        <v>115</v>
      </c>
      <c r="D21" s="83">
        <v>2000</v>
      </c>
      <c r="E21" s="53" t="s">
        <v>10</v>
      </c>
      <c r="F21" s="35" t="s">
        <v>12</v>
      </c>
      <c r="G21" s="35" t="s">
        <v>24</v>
      </c>
      <c r="H21" s="36"/>
    </row>
    <row r="22" spans="1:10" s="30" customFormat="1" ht="35.25" customHeight="1" x14ac:dyDescent="0.2">
      <c r="A22" s="53">
        <v>11</v>
      </c>
      <c r="B22" s="53">
        <v>18300000</v>
      </c>
      <c r="C22" s="53" t="s">
        <v>86</v>
      </c>
      <c r="D22" s="83">
        <f>4900+4000</f>
        <v>8900</v>
      </c>
      <c r="E22" s="53" t="s">
        <v>10</v>
      </c>
      <c r="F22" s="35" t="s">
        <v>12</v>
      </c>
      <c r="G22" s="35" t="s">
        <v>24</v>
      </c>
      <c r="H22" s="36"/>
    </row>
    <row r="23" spans="1:10" s="30" customFormat="1" ht="41.25" customHeight="1" x14ac:dyDescent="0.2">
      <c r="A23" s="53">
        <v>12</v>
      </c>
      <c r="B23" s="53">
        <v>18400000</v>
      </c>
      <c r="C23" s="53" t="s">
        <v>66</v>
      </c>
      <c r="D23" s="83">
        <f>93760-62570</f>
        <v>31190</v>
      </c>
      <c r="E23" s="53" t="s">
        <v>25</v>
      </c>
      <c r="F23" s="35" t="s">
        <v>12</v>
      </c>
      <c r="G23" s="35" t="s">
        <v>24</v>
      </c>
      <c r="H23" s="36"/>
      <c r="I23" s="7"/>
    </row>
    <row r="24" spans="1:10" s="30" customFormat="1" ht="38.25" customHeight="1" x14ac:dyDescent="0.2">
      <c r="A24" s="53">
        <v>13</v>
      </c>
      <c r="B24" s="98">
        <v>18500000</v>
      </c>
      <c r="C24" s="98" t="s">
        <v>55</v>
      </c>
      <c r="D24" s="83">
        <f>4900+3795</f>
        <v>8695</v>
      </c>
      <c r="E24" s="53" t="s">
        <v>10</v>
      </c>
      <c r="F24" s="35" t="s">
        <v>12</v>
      </c>
      <c r="G24" s="35" t="s">
        <v>24</v>
      </c>
      <c r="H24" s="36"/>
    </row>
    <row r="25" spans="1:10" s="30" customFormat="1" ht="38.25" customHeight="1" x14ac:dyDescent="0.2">
      <c r="A25" s="53">
        <v>14</v>
      </c>
      <c r="B25" s="99"/>
      <c r="C25" s="99"/>
      <c r="D25" s="83">
        <v>4500</v>
      </c>
      <c r="E25" s="53" t="s">
        <v>10</v>
      </c>
      <c r="F25" s="35" t="s">
        <v>104</v>
      </c>
      <c r="G25" s="35" t="s">
        <v>104</v>
      </c>
      <c r="H25" s="36"/>
    </row>
    <row r="26" spans="1:10" s="30" customFormat="1" ht="40.5" customHeight="1" x14ac:dyDescent="0.2">
      <c r="A26" s="53">
        <v>15</v>
      </c>
      <c r="B26" s="53">
        <v>18800000</v>
      </c>
      <c r="C26" s="53" t="s">
        <v>87</v>
      </c>
      <c r="D26" s="83">
        <f>85000+38000</f>
        <v>123000</v>
      </c>
      <c r="E26" s="53" t="s">
        <v>25</v>
      </c>
      <c r="F26" s="35" t="s">
        <v>12</v>
      </c>
      <c r="G26" s="35" t="s">
        <v>24</v>
      </c>
      <c r="H26" s="36"/>
      <c r="I26" s="7"/>
    </row>
    <row r="27" spans="1:10" s="30" customFormat="1" ht="31.5" customHeight="1" x14ac:dyDescent="0.2">
      <c r="A27" s="53">
        <v>16</v>
      </c>
      <c r="B27" s="44">
        <v>18900000</v>
      </c>
      <c r="C27" s="53" t="s">
        <v>116</v>
      </c>
      <c r="D27" s="83">
        <v>3000</v>
      </c>
      <c r="E27" s="53" t="s">
        <v>10</v>
      </c>
      <c r="F27" s="35" t="s">
        <v>12</v>
      </c>
      <c r="G27" s="35" t="s">
        <v>24</v>
      </c>
      <c r="H27" s="36"/>
      <c r="I27" s="7"/>
    </row>
    <row r="28" spans="1:10" s="30" customFormat="1" ht="33.75" customHeight="1" x14ac:dyDescent="0.2">
      <c r="A28" s="53">
        <v>17</v>
      </c>
      <c r="B28" s="53">
        <v>19400000</v>
      </c>
      <c r="C28" s="53" t="s">
        <v>117</v>
      </c>
      <c r="D28" s="83">
        <v>1000</v>
      </c>
      <c r="E28" s="53" t="s">
        <v>10</v>
      </c>
      <c r="F28" s="35" t="s">
        <v>12</v>
      </c>
      <c r="G28" s="35" t="s">
        <v>24</v>
      </c>
      <c r="H28" s="36"/>
      <c r="I28" s="15"/>
      <c r="J28" s="7"/>
    </row>
    <row r="29" spans="1:10" s="30" customFormat="1" ht="33" customHeight="1" x14ac:dyDescent="0.2">
      <c r="A29" s="53">
        <v>18</v>
      </c>
      <c r="B29" s="44">
        <v>22100000</v>
      </c>
      <c r="C29" s="53" t="s">
        <v>118</v>
      </c>
      <c r="D29" s="83">
        <f>10000-4000</f>
        <v>6000</v>
      </c>
      <c r="E29" s="53" t="s">
        <v>25</v>
      </c>
      <c r="F29" s="35" t="s">
        <v>12</v>
      </c>
      <c r="G29" s="35" t="s">
        <v>24</v>
      </c>
      <c r="H29" s="36"/>
    </row>
    <row r="30" spans="1:10" s="30" customFormat="1" ht="42" customHeight="1" x14ac:dyDescent="0.2">
      <c r="A30" s="53">
        <v>19</v>
      </c>
      <c r="B30" s="53">
        <v>22400000</v>
      </c>
      <c r="C30" s="53" t="s">
        <v>58</v>
      </c>
      <c r="D30" s="83">
        <f>2510+230</f>
        <v>2740</v>
      </c>
      <c r="E30" s="53" t="s">
        <v>10</v>
      </c>
      <c r="F30" s="35" t="s">
        <v>12</v>
      </c>
      <c r="G30" s="35" t="s">
        <v>24</v>
      </c>
      <c r="H30" s="36"/>
    </row>
    <row r="31" spans="1:10" s="30" customFormat="1" ht="44.25" customHeight="1" x14ac:dyDescent="0.2">
      <c r="A31" s="53">
        <v>20</v>
      </c>
      <c r="B31" s="53">
        <v>22800000</v>
      </c>
      <c r="C31" s="53" t="s">
        <v>119</v>
      </c>
      <c r="D31" s="83">
        <f>15000-7330</f>
        <v>7670</v>
      </c>
      <c r="E31" s="53" t="s">
        <v>25</v>
      </c>
      <c r="F31" s="35" t="s">
        <v>12</v>
      </c>
      <c r="G31" s="35" t="s">
        <v>24</v>
      </c>
      <c r="H31" s="36"/>
      <c r="I31" s="15"/>
      <c r="J31" s="6"/>
    </row>
    <row r="32" spans="1:10" s="30" customFormat="1" ht="35.25" customHeight="1" x14ac:dyDescent="0.2">
      <c r="A32" s="53">
        <v>21</v>
      </c>
      <c r="B32" s="53">
        <v>22900000</v>
      </c>
      <c r="C32" s="53" t="s">
        <v>120</v>
      </c>
      <c r="D32" s="83">
        <v>4000</v>
      </c>
      <c r="E32" s="53" t="s">
        <v>10</v>
      </c>
      <c r="F32" s="35" t="s">
        <v>12</v>
      </c>
      <c r="G32" s="35" t="s">
        <v>24</v>
      </c>
      <c r="H32" s="36"/>
    </row>
    <row r="33" spans="1:9" s="30" customFormat="1" ht="33" customHeight="1" x14ac:dyDescent="0.2">
      <c r="A33" s="53">
        <v>22</v>
      </c>
      <c r="B33" s="44">
        <v>24400000</v>
      </c>
      <c r="C33" s="53" t="s">
        <v>98</v>
      </c>
      <c r="D33" s="83">
        <f>270000-4900</f>
        <v>265100</v>
      </c>
      <c r="E33" s="53" t="s">
        <v>25</v>
      </c>
      <c r="F33" s="35" t="s">
        <v>12</v>
      </c>
      <c r="G33" s="35" t="s">
        <v>24</v>
      </c>
      <c r="H33" s="36"/>
    </row>
    <row r="34" spans="1:9" s="30" customFormat="1" ht="30.75" customHeight="1" x14ac:dyDescent="0.2">
      <c r="A34" s="53">
        <v>23</v>
      </c>
      <c r="B34" s="98">
        <v>30100000</v>
      </c>
      <c r="C34" s="98" t="s">
        <v>22</v>
      </c>
      <c r="D34" s="85">
        <v>25000</v>
      </c>
      <c r="E34" s="53" t="s">
        <v>14</v>
      </c>
      <c r="F34" s="35" t="s">
        <v>12</v>
      </c>
      <c r="G34" s="35" t="s">
        <v>24</v>
      </c>
      <c r="H34" s="36"/>
    </row>
    <row r="35" spans="1:9" s="30" customFormat="1" ht="36.75" customHeight="1" x14ac:dyDescent="0.2">
      <c r="A35" s="53">
        <v>24</v>
      </c>
      <c r="B35" s="101"/>
      <c r="C35" s="101"/>
      <c r="D35" s="85">
        <f>4990+5000</f>
        <v>9990</v>
      </c>
      <c r="E35" s="53" t="s">
        <v>10</v>
      </c>
      <c r="F35" s="35" t="s">
        <v>12</v>
      </c>
      <c r="G35" s="35" t="s">
        <v>24</v>
      </c>
      <c r="H35" s="36"/>
    </row>
    <row r="36" spans="1:9" s="30" customFormat="1" ht="36.75" customHeight="1" x14ac:dyDescent="0.2">
      <c r="A36" s="53">
        <v>25</v>
      </c>
      <c r="B36" s="99"/>
      <c r="C36" s="99"/>
      <c r="D36" s="85">
        <v>447</v>
      </c>
      <c r="E36" s="53" t="s">
        <v>10</v>
      </c>
      <c r="F36" s="35" t="s">
        <v>104</v>
      </c>
      <c r="G36" s="35" t="s">
        <v>104</v>
      </c>
      <c r="H36" s="36"/>
    </row>
    <row r="37" spans="1:9" s="30" customFormat="1" ht="27.75" customHeight="1" x14ac:dyDescent="0.2">
      <c r="A37" s="53">
        <v>26</v>
      </c>
      <c r="B37" s="96">
        <v>30200000</v>
      </c>
      <c r="C37" s="96" t="s">
        <v>121</v>
      </c>
      <c r="D37" s="89">
        <f>16250-11024</f>
        <v>5226</v>
      </c>
      <c r="E37" s="53" t="s">
        <v>14</v>
      </c>
      <c r="F37" s="35" t="s">
        <v>12</v>
      </c>
      <c r="G37" s="35" t="s">
        <v>24</v>
      </c>
      <c r="H37" s="36"/>
    </row>
    <row r="38" spans="1:9" s="30" customFormat="1" ht="28.5" customHeight="1" x14ac:dyDescent="0.2">
      <c r="A38" s="53">
        <v>27</v>
      </c>
      <c r="B38" s="96"/>
      <c r="C38" s="96"/>
      <c r="D38" s="90">
        <f>3000+28500</f>
        <v>31500</v>
      </c>
      <c r="E38" s="53" t="s">
        <v>14</v>
      </c>
      <c r="F38" s="35" t="s">
        <v>12</v>
      </c>
      <c r="G38" s="35" t="s">
        <v>24</v>
      </c>
      <c r="H38" s="36"/>
    </row>
    <row r="39" spans="1:9" s="30" customFormat="1" ht="30.75" customHeight="1" x14ac:dyDescent="0.2">
      <c r="A39" s="53">
        <v>28</v>
      </c>
      <c r="B39" s="96"/>
      <c r="C39" s="96"/>
      <c r="D39" s="89">
        <f>4990+5000</f>
        <v>9990</v>
      </c>
      <c r="E39" s="53" t="s">
        <v>10</v>
      </c>
      <c r="F39" s="35" t="s">
        <v>12</v>
      </c>
      <c r="G39" s="35" t="s">
        <v>24</v>
      </c>
      <c r="H39" s="36"/>
    </row>
    <row r="40" spans="1:9" s="30" customFormat="1" ht="38.25" customHeight="1" x14ac:dyDescent="0.2">
      <c r="A40" s="53">
        <v>29</v>
      </c>
      <c r="B40" s="53">
        <v>31100000</v>
      </c>
      <c r="C40" s="53" t="s">
        <v>77</v>
      </c>
      <c r="D40" s="84">
        <v>5000</v>
      </c>
      <c r="E40" s="53" t="s">
        <v>10</v>
      </c>
      <c r="F40" s="35" t="s">
        <v>94</v>
      </c>
      <c r="G40" s="35" t="s">
        <v>95</v>
      </c>
      <c r="H40" s="36"/>
    </row>
    <row r="41" spans="1:9" s="30" customFormat="1" ht="38.25" customHeight="1" x14ac:dyDescent="0.2">
      <c r="A41" s="53">
        <v>30</v>
      </c>
      <c r="B41" s="53">
        <v>31200000</v>
      </c>
      <c r="C41" s="53" t="s">
        <v>122</v>
      </c>
      <c r="D41" s="83">
        <v>3000</v>
      </c>
      <c r="E41" s="53" t="s">
        <v>10</v>
      </c>
      <c r="F41" s="35" t="s">
        <v>12</v>
      </c>
      <c r="G41" s="35" t="s">
        <v>24</v>
      </c>
      <c r="H41" s="36"/>
    </row>
    <row r="42" spans="1:9" s="30" customFormat="1" ht="38.25" customHeight="1" x14ac:dyDescent="0.2">
      <c r="A42" s="53">
        <v>31</v>
      </c>
      <c r="B42" s="53">
        <v>31300000</v>
      </c>
      <c r="C42" s="53" t="s">
        <v>106</v>
      </c>
      <c r="D42" s="83">
        <v>3000</v>
      </c>
      <c r="E42" s="53" t="s">
        <v>10</v>
      </c>
      <c r="F42" s="35" t="s">
        <v>12</v>
      </c>
      <c r="G42" s="35" t="s">
        <v>24</v>
      </c>
      <c r="H42" s="36"/>
    </row>
    <row r="43" spans="1:9" s="30" customFormat="1" ht="33.75" customHeight="1" x14ac:dyDescent="0.2">
      <c r="A43" s="53">
        <v>32</v>
      </c>
      <c r="B43" s="53">
        <v>31500000</v>
      </c>
      <c r="C43" s="53" t="s">
        <v>74</v>
      </c>
      <c r="D43" s="83">
        <f>1840+8000</f>
        <v>9840</v>
      </c>
      <c r="E43" s="53" t="s">
        <v>10</v>
      </c>
      <c r="F43" s="35" t="s">
        <v>12</v>
      </c>
      <c r="G43" s="35" t="s">
        <v>24</v>
      </c>
      <c r="H43" s="41"/>
    </row>
    <row r="44" spans="1:9" s="30" customFormat="1" ht="36" customHeight="1" x14ac:dyDescent="0.2">
      <c r="A44" s="53">
        <v>33</v>
      </c>
      <c r="B44" s="53">
        <v>32200000</v>
      </c>
      <c r="C44" s="53" t="s">
        <v>59</v>
      </c>
      <c r="D44" s="83">
        <f>4900+3673</f>
        <v>8573</v>
      </c>
      <c r="E44" s="53" t="s">
        <v>10</v>
      </c>
      <c r="F44" s="35" t="s">
        <v>12</v>
      </c>
      <c r="G44" s="35" t="s">
        <v>24</v>
      </c>
      <c r="H44" s="41"/>
    </row>
    <row r="45" spans="1:9" s="30" customFormat="1" ht="33.75" customHeight="1" x14ac:dyDescent="0.2">
      <c r="A45" s="53">
        <v>34</v>
      </c>
      <c r="B45" s="98">
        <v>32300000</v>
      </c>
      <c r="C45" s="98" t="s">
        <v>123</v>
      </c>
      <c r="D45" s="84">
        <f>1500+585</f>
        <v>2085</v>
      </c>
      <c r="E45" s="53" t="s">
        <v>10</v>
      </c>
      <c r="F45" s="35" t="s">
        <v>12</v>
      </c>
      <c r="G45" s="35" t="s">
        <v>24</v>
      </c>
      <c r="H45" s="41"/>
    </row>
    <row r="46" spans="1:9" s="30" customFormat="1" ht="33.75" customHeight="1" x14ac:dyDescent="0.2">
      <c r="A46" s="53">
        <v>35</v>
      </c>
      <c r="B46" s="99"/>
      <c r="C46" s="99"/>
      <c r="D46" s="83">
        <v>4000</v>
      </c>
      <c r="E46" s="53" t="s">
        <v>10</v>
      </c>
      <c r="F46" s="35" t="s">
        <v>104</v>
      </c>
      <c r="G46" s="35" t="s">
        <v>104</v>
      </c>
      <c r="H46" s="41"/>
    </row>
    <row r="47" spans="1:9" s="30" customFormat="1" ht="38.25" customHeight="1" x14ac:dyDescent="0.2">
      <c r="A47" s="53">
        <v>36</v>
      </c>
      <c r="B47" s="53">
        <v>32400000</v>
      </c>
      <c r="C47" s="53" t="s">
        <v>43</v>
      </c>
      <c r="D47" s="83">
        <f>15000+2000</f>
        <v>17000</v>
      </c>
      <c r="E47" s="53" t="s">
        <v>25</v>
      </c>
      <c r="F47" s="35" t="s">
        <v>12</v>
      </c>
      <c r="G47" s="35" t="s">
        <v>24</v>
      </c>
      <c r="H47" s="36"/>
    </row>
    <row r="48" spans="1:9" s="30" customFormat="1" ht="30" customHeight="1" x14ac:dyDescent="0.2">
      <c r="A48" s="53">
        <v>37</v>
      </c>
      <c r="B48" s="53">
        <v>34100000</v>
      </c>
      <c r="C48" s="53" t="s">
        <v>81</v>
      </c>
      <c r="D48" s="84">
        <v>486000</v>
      </c>
      <c r="E48" s="53" t="s">
        <v>14</v>
      </c>
      <c r="F48" s="35" t="s">
        <v>12</v>
      </c>
      <c r="G48" s="35" t="s">
        <v>24</v>
      </c>
      <c r="H48" s="36"/>
      <c r="I48" s="7"/>
    </row>
    <row r="49" spans="1:10" s="30" customFormat="1" ht="33" customHeight="1" x14ac:dyDescent="0.2">
      <c r="A49" s="53">
        <v>38</v>
      </c>
      <c r="B49" s="98">
        <v>34300000</v>
      </c>
      <c r="C49" s="98" t="s">
        <v>36</v>
      </c>
      <c r="D49" s="83">
        <f>284800+51000</f>
        <v>335800</v>
      </c>
      <c r="E49" s="53" t="s">
        <v>14</v>
      </c>
      <c r="F49" s="35" t="s">
        <v>12</v>
      </c>
      <c r="G49" s="35" t="s">
        <v>24</v>
      </c>
      <c r="H49" s="36"/>
    </row>
    <row r="50" spans="1:10" s="30" customFormat="1" ht="33" customHeight="1" x14ac:dyDescent="0.2">
      <c r="A50" s="53">
        <v>39</v>
      </c>
      <c r="B50" s="99"/>
      <c r="C50" s="99"/>
      <c r="D50" s="83">
        <v>6000</v>
      </c>
      <c r="E50" s="53" t="s">
        <v>10</v>
      </c>
      <c r="F50" s="35" t="s">
        <v>99</v>
      </c>
      <c r="G50" s="35" t="s">
        <v>100</v>
      </c>
      <c r="H50" s="36"/>
    </row>
    <row r="51" spans="1:10" s="30" customFormat="1" ht="38.25" customHeight="1" x14ac:dyDescent="0.2">
      <c r="A51" s="53">
        <v>40</v>
      </c>
      <c r="B51" s="53">
        <v>34400000</v>
      </c>
      <c r="C51" s="53" t="s">
        <v>124</v>
      </c>
      <c r="D51" s="83">
        <v>4900</v>
      </c>
      <c r="E51" s="53" t="s">
        <v>10</v>
      </c>
      <c r="F51" s="35" t="s">
        <v>12</v>
      </c>
      <c r="G51" s="35" t="s">
        <v>24</v>
      </c>
      <c r="H51" s="36"/>
    </row>
    <row r="52" spans="1:10" s="30" customFormat="1" ht="39" customHeight="1" x14ac:dyDescent="0.2">
      <c r="A52" s="53">
        <v>41</v>
      </c>
      <c r="B52" s="53">
        <v>34900000</v>
      </c>
      <c r="C52" s="53" t="s">
        <v>125</v>
      </c>
      <c r="D52" s="83">
        <v>3000</v>
      </c>
      <c r="E52" s="53" t="s">
        <v>10</v>
      </c>
      <c r="F52" s="35" t="s">
        <v>12</v>
      </c>
      <c r="G52" s="35" t="s">
        <v>24</v>
      </c>
      <c r="H52" s="36"/>
      <c r="I52" s="7"/>
    </row>
    <row r="53" spans="1:10" s="30" customFormat="1" ht="36.75" customHeight="1" x14ac:dyDescent="0.2">
      <c r="A53" s="53">
        <v>42</v>
      </c>
      <c r="B53" s="53">
        <v>35100000</v>
      </c>
      <c r="C53" s="53" t="s">
        <v>69</v>
      </c>
      <c r="D53" s="83">
        <f>4900+4900</f>
        <v>9800</v>
      </c>
      <c r="E53" s="53" t="s">
        <v>10</v>
      </c>
      <c r="F53" s="35" t="s">
        <v>12</v>
      </c>
      <c r="G53" s="35" t="s">
        <v>24</v>
      </c>
      <c r="H53" s="53"/>
      <c r="I53" s="31"/>
    </row>
    <row r="54" spans="1:10" s="30" customFormat="1" ht="36" customHeight="1" x14ac:dyDescent="0.2">
      <c r="A54" s="53">
        <v>43</v>
      </c>
      <c r="B54" s="53">
        <v>35300000</v>
      </c>
      <c r="C54" s="53" t="s">
        <v>67</v>
      </c>
      <c r="D54" s="83">
        <f>4900+1525</f>
        <v>6425</v>
      </c>
      <c r="E54" s="53" t="s">
        <v>10</v>
      </c>
      <c r="F54" s="35" t="s">
        <v>12</v>
      </c>
      <c r="G54" s="35" t="s">
        <v>24</v>
      </c>
      <c r="H54" s="41"/>
    </row>
    <row r="55" spans="1:10" s="30" customFormat="1" ht="36.75" customHeight="1" x14ac:dyDescent="0.2">
      <c r="A55" s="53">
        <v>44</v>
      </c>
      <c r="B55" s="53">
        <v>35600000</v>
      </c>
      <c r="C55" s="53" t="s">
        <v>126</v>
      </c>
      <c r="D55" s="84">
        <f>150000-24000</f>
        <v>126000</v>
      </c>
      <c r="E55" s="53" t="s">
        <v>25</v>
      </c>
      <c r="F55" s="35" t="s">
        <v>12</v>
      </c>
      <c r="G55" s="35" t="s">
        <v>24</v>
      </c>
      <c r="H55" s="36"/>
      <c r="I55" s="27"/>
    </row>
    <row r="56" spans="1:10" s="30" customFormat="1" ht="37.5" customHeight="1" x14ac:dyDescent="0.2">
      <c r="A56" s="53">
        <v>45</v>
      </c>
      <c r="B56" s="53">
        <v>35800000</v>
      </c>
      <c r="C56" s="53" t="s">
        <v>127</v>
      </c>
      <c r="D56" s="83">
        <f>4900+1000</f>
        <v>5900</v>
      </c>
      <c r="E56" s="53" t="s">
        <v>10</v>
      </c>
      <c r="F56" s="35" t="s">
        <v>12</v>
      </c>
      <c r="G56" s="35" t="s">
        <v>24</v>
      </c>
      <c r="H56" s="53"/>
    </row>
    <row r="57" spans="1:10" s="30" customFormat="1" ht="41.25" customHeight="1" x14ac:dyDescent="0.2">
      <c r="A57" s="53">
        <v>46</v>
      </c>
      <c r="B57" s="98">
        <v>38100000</v>
      </c>
      <c r="C57" s="98" t="s">
        <v>128</v>
      </c>
      <c r="D57" s="84">
        <f>80195-10</f>
        <v>80185</v>
      </c>
      <c r="E57" s="53" t="s">
        <v>25</v>
      </c>
      <c r="F57" s="35" t="s">
        <v>12</v>
      </c>
      <c r="G57" s="35" t="s">
        <v>24</v>
      </c>
      <c r="H57" s="36"/>
      <c r="I57" s="7"/>
    </row>
    <row r="58" spans="1:10" s="30" customFormat="1" ht="41.25" customHeight="1" x14ac:dyDescent="0.2">
      <c r="A58" s="53">
        <v>47</v>
      </c>
      <c r="B58" s="99"/>
      <c r="C58" s="99"/>
      <c r="D58" s="83">
        <f>70000-10000</f>
        <v>60000</v>
      </c>
      <c r="E58" s="53" t="s">
        <v>25</v>
      </c>
      <c r="F58" s="35" t="s">
        <v>12</v>
      </c>
      <c r="G58" s="35" t="s">
        <v>24</v>
      </c>
      <c r="H58" s="36"/>
      <c r="I58" s="7"/>
    </row>
    <row r="59" spans="1:10" s="30" customFormat="1" ht="33" customHeight="1" x14ac:dyDescent="0.2">
      <c r="A59" s="53">
        <v>48</v>
      </c>
      <c r="B59" s="44">
        <v>38500000</v>
      </c>
      <c r="C59" s="53" t="s">
        <v>129</v>
      </c>
      <c r="D59" s="84">
        <v>5000</v>
      </c>
      <c r="E59" s="53" t="s">
        <v>25</v>
      </c>
      <c r="F59" s="35" t="s">
        <v>12</v>
      </c>
      <c r="G59" s="35" t="s">
        <v>24</v>
      </c>
      <c r="H59" s="36"/>
    </row>
    <row r="60" spans="1:10" s="9" customFormat="1" ht="35.25" customHeight="1" x14ac:dyDescent="0.2">
      <c r="A60" s="53">
        <v>49</v>
      </c>
      <c r="B60" s="58">
        <v>38600000</v>
      </c>
      <c r="C60" s="53" t="s">
        <v>130</v>
      </c>
      <c r="D60" s="84">
        <f>15000+10</f>
        <v>15010</v>
      </c>
      <c r="E60" s="53" t="s">
        <v>25</v>
      </c>
      <c r="F60" s="35" t="s">
        <v>12</v>
      </c>
      <c r="G60" s="35" t="s">
        <v>24</v>
      </c>
      <c r="H60" s="36"/>
    </row>
    <row r="61" spans="1:10" s="30" customFormat="1" ht="28.5" customHeight="1" x14ac:dyDescent="0.2">
      <c r="A61" s="53">
        <v>50</v>
      </c>
      <c r="B61" s="98">
        <v>39100000</v>
      </c>
      <c r="C61" s="98" t="s">
        <v>11</v>
      </c>
      <c r="D61" s="83">
        <f>104900-7036</f>
        <v>97864</v>
      </c>
      <c r="E61" s="53" t="s">
        <v>25</v>
      </c>
      <c r="F61" s="35" t="s">
        <v>12</v>
      </c>
      <c r="G61" s="35" t="s">
        <v>24</v>
      </c>
      <c r="H61" s="36"/>
      <c r="J61" s="8"/>
    </row>
    <row r="62" spans="1:10" s="30" customFormat="1" ht="28.5" customHeight="1" x14ac:dyDescent="0.2">
      <c r="A62" s="53">
        <v>51</v>
      </c>
      <c r="B62" s="99"/>
      <c r="C62" s="99"/>
      <c r="D62" s="84">
        <v>20000</v>
      </c>
      <c r="E62" s="53" t="s">
        <v>25</v>
      </c>
      <c r="F62" s="35" t="s">
        <v>12</v>
      </c>
      <c r="G62" s="35" t="s">
        <v>24</v>
      </c>
      <c r="H62" s="36"/>
      <c r="J62" s="8"/>
    </row>
    <row r="63" spans="1:10" s="30" customFormat="1" ht="39.75" customHeight="1" x14ac:dyDescent="0.2">
      <c r="A63" s="53">
        <v>52</v>
      </c>
      <c r="B63" s="98">
        <v>39200000</v>
      </c>
      <c r="C63" s="98" t="s">
        <v>52</v>
      </c>
      <c r="D63" s="83">
        <f>10200+1669</f>
        <v>11869</v>
      </c>
      <c r="E63" s="53" t="s">
        <v>25</v>
      </c>
      <c r="F63" s="35" t="s">
        <v>12</v>
      </c>
      <c r="G63" s="35" t="s">
        <v>24</v>
      </c>
      <c r="H63" s="53"/>
    </row>
    <row r="64" spans="1:10" s="30" customFormat="1" ht="34.5" customHeight="1" x14ac:dyDescent="0.2">
      <c r="A64" s="53">
        <v>53</v>
      </c>
      <c r="B64" s="99"/>
      <c r="C64" s="99"/>
      <c r="D64" s="84">
        <f>15000+2000</f>
        <v>17000</v>
      </c>
      <c r="E64" s="53" t="s">
        <v>25</v>
      </c>
      <c r="F64" s="35" t="s">
        <v>12</v>
      </c>
      <c r="G64" s="35" t="s">
        <v>24</v>
      </c>
      <c r="H64" s="53"/>
    </row>
    <row r="65" spans="1:10" s="30" customFormat="1" ht="28.5" customHeight="1" x14ac:dyDescent="0.2">
      <c r="A65" s="53">
        <v>54</v>
      </c>
      <c r="B65" s="53">
        <v>39500000</v>
      </c>
      <c r="C65" s="53" t="s">
        <v>131</v>
      </c>
      <c r="D65" s="83">
        <f>9000+900</f>
        <v>9900</v>
      </c>
      <c r="E65" s="53" t="s">
        <v>10</v>
      </c>
      <c r="F65" s="35" t="s">
        <v>94</v>
      </c>
      <c r="G65" s="35" t="s">
        <v>95</v>
      </c>
      <c r="H65" s="53"/>
    </row>
    <row r="66" spans="1:10" s="30" customFormat="1" ht="28.5" customHeight="1" x14ac:dyDescent="0.2">
      <c r="A66" s="53">
        <v>55</v>
      </c>
      <c r="B66" s="98">
        <v>39700000</v>
      </c>
      <c r="C66" s="98" t="s">
        <v>132</v>
      </c>
      <c r="D66" s="83">
        <f>1000+1919</f>
        <v>2919</v>
      </c>
      <c r="E66" s="53" t="s">
        <v>10</v>
      </c>
      <c r="F66" s="35" t="s">
        <v>12</v>
      </c>
      <c r="G66" s="35" t="s">
        <v>24</v>
      </c>
      <c r="H66" s="53"/>
    </row>
    <row r="67" spans="1:10" s="30" customFormat="1" ht="28.5" customHeight="1" x14ac:dyDescent="0.2">
      <c r="A67" s="53">
        <v>56</v>
      </c>
      <c r="B67" s="99"/>
      <c r="C67" s="99"/>
      <c r="D67" s="84">
        <v>5000</v>
      </c>
      <c r="E67" s="53" t="s">
        <v>10</v>
      </c>
      <c r="F67" s="35" t="s">
        <v>99</v>
      </c>
      <c r="G67" s="35" t="s">
        <v>100</v>
      </c>
      <c r="H67" s="53"/>
    </row>
    <row r="68" spans="1:10" s="30" customFormat="1" ht="32.25" customHeight="1" x14ac:dyDescent="0.2">
      <c r="A68" s="53">
        <v>57</v>
      </c>
      <c r="B68" s="44">
        <v>41100000</v>
      </c>
      <c r="C68" s="53" t="s">
        <v>133</v>
      </c>
      <c r="D68" s="83">
        <v>2000</v>
      </c>
      <c r="E68" s="53" t="s">
        <v>10</v>
      </c>
      <c r="F68" s="35" t="s">
        <v>12</v>
      </c>
      <c r="G68" s="35" t="s">
        <v>24</v>
      </c>
      <c r="H68" s="36"/>
      <c r="I68" s="7"/>
      <c r="J68" s="6"/>
    </row>
    <row r="69" spans="1:10" s="30" customFormat="1" ht="34.5" customHeight="1" x14ac:dyDescent="0.2">
      <c r="A69" s="53">
        <v>58</v>
      </c>
      <c r="B69" s="102">
        <v>42100000</v>
      </c>
      <c r="C69" s="98" t="s">
        <v>84</v>
      </c>
      <c r="D69" s="83">
        <f>200</f>
        <v>200</v>
      </c>
      <c r="E69" s="53" t="s">
        <v>10</v>
      </c>
      <c r="F69" s="35" t="s">
        <v>99</v>
      </c>
      <c r="G69" s="35" t="s">
        <v>100</v>
      </c>
      <c r="H69" s="36"/>
    </row>
    <row r="70" spans="1:10" s="30" customFormat="1" ht="34.5" customHeight="1" x14ac:dyDescent="0.2">
      <c r="A70" s="53">
        <v>59</v>
      </c>
      <c r="B70" s="104"/>
      <c r="C70" s="99"/>
      <c r="D70" s="84">
        <v>4940</v>
      </c>
      <c r="E70" s="53" t="s">
        <v>10</v>
      </c>
      <c r="F70" s="35" t="s">
        <v>104</v>
      </c>
      <c r="G70" s="35" t="s">
        <v>104</v>
      </c>
      <c r="H70" s="36"/>
    </row>
    <row r="71" spans="1:10" s="30" customFormat="1" ht="35.25" customHeight="1" x14ac:dyDescent="0.2">
      <c r="A71" s="53">
        <v>60</v>
      </c>
      <c r="B71" s="53">
        <v>42400000</v>
      </c>
      <c r="C71" s="53" t="s">
        <v>134</v>
      </c>
      <c r="D71" s="83">
        <v>3000</v>
      </c>
      <c r="E71" s="53" t="s">
        <v>10</v>
      </c>
      <c r="F71" s="35" t="s">
        <v>12</v>
      </c>
      <c r="G71" s="35" t="s">
        <v>24</v>
      </c>
      <c r="H71" s="36"/>
    </row>
    <row r="72" spans="1:10" s="30" customFormat="1" ht="27.75" customHeight="1" x14ac:dyDescent="0.2">
      <c r="A72" s="53">
        <v>61</v>
      </c>
      <c r="B72" s="53">
        <v>42500000</v>
      </c>
      <c r="C72" s="53" t="s">
        <v>80</v>
      </c>
      <c r="D72" s="84">
        <v>3440</v>
      </c>
      <c r="E72" s="53" t="s">
        <v>10</v>
      </c>
      <c r="F72" s="35" t="s">
        <v>99</v>
      </c>
      <c r="G72" s="35" t="s">
        <v>100</v>
      </c>
      <c r="H72" s="36"/>
      <c r="I72" s="15"/>
    </row>
    <row r="73" spans="1:10" s="30" customFormat="1" ht="28.5" customHeight="1" x14ac:dyDescent="0.2">
      <c r="A73" s="53">
        <v>62</v>
      </c>
      <c r="B73" s="53">
        <v>42600000</v>
      </c>
      <c r="C73" s="53" t="s">
        <v>107</v>
      </c>
      <c r="D73" s="91">
        <f>9980+18.8</f>
        <v>9998.7999999999993</v>
      </c>
      <c r="E73" s="53" t="s">
        <v>10</v>
      </c>
      <c r="F73" s="35" t="s">
        <v>12</v>
      </c>
      <c r="G73" s="35" t="s">
        <v>24</v>
      </c>
      <c r="H73" s="36"/>
      <c r="I73" s="6"/>
    </row>
    <row r="74" spans="1:10" s="30" customFormat="1" ht="32.25" customHeight="1" x14ac:dyDescent="0.2">
      <c r="A74" s="53">
        <v>63</v>
      </c>
      <c r="B74" s="98">
        <v>42900000</v>
      </c>
      <c r="C74" s="98" t="s">
        <v>51</v>
      </c>
      <c r="D74" s="84">
        <f>9095-410</f>
        <v>8685</v>
      </c>
      <c r="E74" s="53" t="s">
        <v>10</v>
      </c>
      <c r="F74" s="35" t="s">
        <v>99</v>
      </c>
      <c r="G74" s="35" t="s">
        <v>100</v>
      </c>
      <c r="H74" s="36"/>
      <c r="I74" s="7"/>
    </row>
    <row r="75" spans="1:10" s="30" customFormat="1" ht="32.25" customHeight="1" x14ac:dyDescent="0.2">
      <c r="A75" s="53">
        <v>64</v>
      </c>
      <c r="B75" s="99"/>
      <c r="C75" s="99"/>
      <c r="D75" s="83">
        <f>900+410</f>
        <v>1310</v>
      </c>
      <c r="E75" s="53" t="s">
        <v>10</v>
      </c>
      <c r="F75" s="35" t="s">
        <v>99</v>
      </c>
      <c r="G75" s="35" t="s">
        <v>100</v>
      </c>
      <c r="H75" s="36"/>
      <c r="I75" s="7"/>
    </row>
    <row r="76" spans="1:10" s="30" customFormat="1" ht="29.25" customHeight="1" x14ac:dyDescent="0.2">
      <c r="A76" s="53">
        <v>65</v>
      </c>
      <c r="B76" s="53">
        <v>43800000</v>
      </c>
      <c r="C76" s="53" t="s">
        <v>135</v>
      </c>
      <c r="D76" s="84">
        <f>6000-625</f>
        <v>5375</v>
      </c>
      <c r="E76" s="53" t="s">
        <v>10</v>
      </c>
      <c r="F76" s="35" t="s">
        <v>94</v>
      </c>
      <c r="G76" s="35" t="s">
        <v>95</v>
      </c>
      <c r="H76" s="36"/>
      <c r="I76" s="7"/>
    </row>
    <row r="77" spans="1:10" s="30" customFormat="1" ht="33.75" customHeight="1" x14ac:dyDescent="0.2">
      <c r="A77" s="53">
        <v>66</v>
      </c>
      <c r="B77" s="53">
        <v>44100000</v>
      </c>
      <c r="C77" s="53" t="s">
        <v>136</v>
      </c>
      <c r="D77" s="83">
        <f>5000+810</f>
        <v>5810</v>
      </c>
      <c r="E77" s="53" t="s">
        <v>10</v>
      </c>
      <c r="F77" s="35" t="s">
        <v>12</v>
      </c>
      <c r="G77" s="35" t="s">
        <v>24</v>
      </c>
      <c r="H77" s="36"/>
    </row>
    <row r="78" spans="1:10" s="30" customFormat="1" ht="35.25" customHeight="1" x14ac:dyDescent="0.2">
      <c r="A78" s="53">
        <v>67</v>
      </c>
      <c r="B78" s="53">
        <v>44200000</v>
      </c>
      <c r="C78" s="53" t="s">
        <v>102</v>
      </c>
      <c r="D78" s="84">
        <f>46669+625</f>
        <v>47294</v>
      </c>
      <c r="E78" s="53" t="s">
        <v>25</v>
      </c>
      <c r="F78" s="35" t="s">
        <v>12</v>
      </c>
      <c r="G78" s="35" t="s">
        <v>24</v>
      </c>
      <c r="H78" s="36"/>
    </row>
    <row r="79" spans="1:10" s="30" customFormat="1" ht="34.5" customHeight="1" x14ac:dyDescent="0.2">
      <c r="A79" s="53">
        <v>68</v>
      </c>
      <c r="B79" s="44">
        <v>44300000</v>
      </c>
      <c r="C79" s="53" t="s">
        <v>137</v>
      </c>
      <c r="D79" s="83">
        <f>51000+60000</f>
        <v>111000</v>
      </c>
      <c r="E79" s="53" t="s">
        <v>25</v>
      </c>
      <c r="F79" s="35" t="s">
        <v>12</v>
      </c>
      <c r="G79" s="35" t="s">
        <v>24</v>
      </c>
      <c r="H79" s="53"/>
      <c r="I79" s="7"/>
    </row>
    <row r="80" spans="1:10" s="30" customFormat="1" ht="39.75" customHeight="1" x14ac:dyDescent="0.2">
      <c r="A80" s="53">
        <v>69</v>
      </c>
      <c r="B80" s="98">
        <v>44400000</v>
      </c>
      <c r="C80" s="98" t="s">
        <v>42</v>
      </c>
      <c r="D80" s="91">
        <f>159981.2-300</f>
        <v>159681.20000000001</v>
      </c>
      <c r="E80" s="53" t="s">
        <v>25</v>
      </c>
      <c r="F80" s="35" t="s">
        <v>12</v>
      </c>
      <c r="G80" s="35" t="s">
        <v>24</v>
      </c>
      <c r="H80" s="36"/>
    </row>
    <row r="81" spans="1:10" s="30" customFormat="1" ht="31.5" customHeight="1" x14ac:dyDescent="0.2">
      <c r="A81" s="53">
        <v>70</v>
      </c>
      <c r="B81" s="99"/>
      <c r="C81" s="99"/>
      <c r="D81" s="84">
        <v>8000</v>
      </c>
      <c r="E81" s="53" t="s">
        <v>25</v>
      </c>
      <c r="F81" s="35" t="s">
        <v>99</v>
      </c>
      <c r="G81" s="35" t="s">
        <v>100</v>
      </c>
      <c r="H81" s="36"/>
    </row>
    <row r="82" spans="1:10" s="9" customFormat="1" ht="48" customHeight="1" x14ac:dyDescent="0.2">
      <c r="A82" s="53">
        <v>71</v>
      </c>
      <c r="B82" s="58">
        <v>44500000</v>
      </c>
      <c r="C82" s="53" t="s">
        <v>138</v>
      </c>
      <c r="D82" s="83">
        <f>3600+6390</f>
        <v>9990</v>
      </c>
      <c r="E82" s="53" t="s">
        <v>10</v>
      </c>
      <c r="F82" s="35" t="s">
        <v>12</v>
      </c>
      <c r="G82" s="35" t="s">
        <v>24</v>
      </c>
      <c r="H82" s="53"/>
    </row>
    <row r="83" spans="1:10" s="30" customFormat="1" ht="34.5" customHeight="1" x14ac:dyDescent="0.2">
      <c r="A83" s="53">
        <v>72</v>
      </c>
      <c r="B83" s="55">
        <v>44600000</v>
      </c>
      <c r="C83" s="54" t="s">
        <v>139</v>
      </c>
      <c r="D83" s="83">
        <f>200+3015</f>
        <v>3215</v>
      </c>
      <c r="E83" s="53" t="s">
        <v>10</v>
      </c>
      <c r="F83" s="35" t="s">
        <v>99</v>
      </c>
      <c r="G83" s="35" t="s">
        <v>100</v>
      </c>
      <c r="H83" s="36"/>
    </row>
    <row r="84" spans="1:10" s="30" customFormat="1" ht="33" customHeight="1" x14ac:dyDescent="0.2">
      <c r="A84" s="53">
        <v>73</v>
      </c>
      <c r="B84" s="53">
        <v>44800000</v>
      </c>
      <c r="C84" s="53" t="s">
        <v>140</v>
      </c>
      <c r="D84" s="83">
        <v>2030</v>
      </c>
      <c r="E84" s="53" t="s">
        <v>10</v>
      </c>
      <c r="F84" s="35" t="s">
        <v>12</v>
      </c>
      <c r="G84" s="35" t="s">
        <v>24</v>
      </c>
      <c r="H84" s="36"/>
    </row>
    <row r="85" spans="1:10" s="30" customFormat="1" ht="39.75" customHeight="1" x14ac:dyDescent="0.2">
      <c r="A85" s="53">
        <v>74</v>
      </c>
      <c r="B85" s="53">
        <v>45200000</v>
      </c>
      <c r="C85" s="53" t="s">
        <v>65</v>
      </c>
      <c r="D85" s="84">
        <f>339271-12500</f>
        <v>326771</v>
      </c>
      <c r="E85" s="53" t="s">
        <v>25</v>
      </c>
      <c r="F85" s="35" t="s">
        <v>12</v>
      </c>
      <c r="G85" s="35" t="s">
        <v>24</v>
      </c>
      <c r="H85" s="36"/>
      <c r="I85" s="23"/>
      <c r="J85" s="7"/>
    </row>
    <row r="86" spans="1:10" s="30" customFormat="1" ht="30.75" customHeight="1" x14ac:dyDescent="0.2">
      <c r="A86" s="53">
        <v>75</v>
      </c>
      <c r="B86" s="54">
        <v>45300000</v>
      </c>
      <c r="C86" s="54" t="s">
        <v>73</v>
      </c>
      <c r="D86" s="84">
        <v>23500</v>
      </c>
      <c r="E86" s="53" t="s">
        <v>25</v>
      </c>
      <c r="F86" s="35" t="s">
        <v>99</v>
      </c>
      <c r="G86" s="35" t="s">
        <v>100</v>
      </c>
      <c r="H86" s="36"/>
      <c r="I86" s="16"/>
      <c r="J86" s="7"/>
    </row>
    <row r="87" spans="1:10" s="9" customFormat="1" ht="32.25" customHeight="1" x14ac:dyDescent="0.2">
      <c r="A87" s="53">
        <v>76</v>
      </c>
      <c r="B87" s="53">
        <v>45400000</v>
      </c>
      <c r="C87" s="53" t="s">
        <v>72</v>
      </c>
      <c r="D87" s="84">
        <f>736760-625</f>
        <v>736135</v>
      </c>
      <c r="E87" s="53" t="s">
        <v>25</v>
      </c>
      <c r="F87" s="35" t="s">
        <v>12</v>
      </c>
      <c r="G87" s="35" t="s">
        <v>24</v>
      </c>
      <c r="H87" s="53"/>
      <c r="I87" s="7"/>
    </row>
    <row r="88" spans="1:10" s="9" customFormat="1" ht="35.25" customHeight="1" x14ac:dyDescent="0.2">
      <c r="A88" s="53">
        <v>77</v>
      </c>
      <c r="B88" s="58">
        <v>48400000</v>
      </c>
      <c r="C88" s="53" t="s">
        <v>141</v>
      </c>
      <c r="D88" s="92">
        <v>20000</v>
      </c>
      <c r="E88" s="53" t="s">
        <v>10</v>
      </c>
      <c r="F88" s="35" t="s">
        <v>12</v>
      </c>
      <c r="G88" s="35" t="s">
        <v>24</v>
      </c>
      <c r="H88" s="36"/>
    </row>
    <row r="89" spans="1:10" s="30" customFormat="1" ht="42" customHeight="1" x14ac:dyDescent="0.2">
      <c r="A89" s="53">
        <v>78</v>
      </c>
      <c r="B89" s="98">
        <v>50100000</v>
      </c>
      <c r="C89" s="98" t="s">
        <v>23</v>
      </c>
      <c r="D89" s="83">
        <v>72125</v>
      </c>
      <c r="E89" s="53" t="s">
        <v>14</v>
      </c>
      <c r="F89" s="35" t="s">
        <v>12</v>
      </c>
      <c r="G89" s="35" t="s">
        <v>24</v>
      </c>
      <c r="H89" s="36"/>
      <c r="I89" s="19"/>
    </row>
    <row r="90" spans="1:10" s="30" customFormat="1" ht="42" customHeight="1" x14ac:dyDescent="0.2">
      <c r="A90" s="53">
        <v>79</v>
      </c>
      <c r="B90" s="101"/>
      <c r="C90" s="101"/>
      <c r="D90" s="83">
        <f>671000-5000</f>
        <v>666000</v>
      </c>
      <c r="E90" s="53" t="s">
        <v>25</v>
      </c>
      <c r="F90" s="35" t="s">
        <v>12</v>
      </c>
      <c r="G90" s="35" t="s">
        <v>24</v>
      </c>
      <c r="H90" s="36"/>
      <c r="I90" s="19"/>
    </row>
    <row r="91" spans="1:10" s="30" customFormat="1" ht="37.5" customHeight="1" x14ac:dyDescent="0.2">
      <c r="A91" s="53">
        <v>80</v>
      </c>
      <c r="B91" s="101"/>
      <c r="C91" s="101"/>
      <c r="D91" s="83">
        <f>446975+20000</f>
        <v>466975</v>
      </c>
      <c r="E91" s="53" t="s">
        <v>10</v>
      </c>
      <c r="F91" s="35" t="s">
        <v>12</v>
      </c>
      <c r="G91" s="35" t="s">
        <v>24</v>
      </c>
      <c r="H91" s="36"/>
      <c r="I91" s="19"/>
    </row>
    <row r="92" spans="1:10" s="30" customFormat="1" ht="37.5" customHeight="1" x14ac:dyDescent="0.2">
      <c r="A92" s="53">
        <v>81</v>
      </c>
      <c r="B92" s="99"/>
      <c r="C92" s="99"/>
      <c r="D92" s="84">
        <v>9800</v>
      </c>
      <c r="E92" s="53" t="s">
        <v>10</v>
      </c>
      <c r="F92" s="35" t="s">
        <v>99</v>
      </c>
      <c r="G92" s="35" t="s">
        <v>100</v>
      </c>
      <c r="H92" s="36"/>
      <c r="I92" s="19"/>
    </row>
    <row r="93" spans="1:10" s="30" customFormat="1" ht="49.5" customHeight="1" x14ac:dyDescent="0.2">
      <c r="A93" s="53">
        <v>82</v>
      </c>
      <c r="B93" s="53">
        <v>50500000</v>
      </c>
      <c r="C93" s="53" t="s">
        <v>142</v>
      </c>
      <c r="D93" s="83">
        <v>4990</v>
      </c>
      <c r="E93" s="53" t="s">
        <v>10</v>
      </c>
      <c r="F93" s="35" t="s">
        <v>12</v>
      </c>
      <c r="G93" s="35" t="s">
        <v>24</v>
      </c>
      <c r="H93" s="36"/>
      <c r="I93" s="6"/>
    </row>
    <row r="94" spans="1:10" s="57" customFormat="1" ht="39" customHeight="1" x14ac:dyDescent="0.2">
      <c r="A94" s="53">
        <v>83</v>
      </c>
      <c r="B94" s="53">
        <v>55300000</v>
      </c>
      <c r="C94" s="53" t="s">
        <v>76</v>
      </c>
      <c r="D94" s="83">
        <f>4900+4028</f>
        <v>8928</v>
      </c>
      <c r="E94" s="53" t="s">
        <v>10</v>
      </c>
      <c r="F94" s="35" t="s">
        <v>12</v>
      </c>
      <c r="G94" s="35" t="s">
        <v>24</v>
      </c>
      <c r="H94" s="36"/>
    </row>
    <row r="95" spans="1:10" s="30" customFormat="1" ht="33.75" customHeight="1" x14ac:dyDescent="0.2">
      <c r="A95" s="53">
        <v>84</v>
      </c>
      <c r="B95" s="53">
        <v>63100000</v>
      </c>
      <c r="C95" s="53" t="s">
        <v>45</v>
      </c>
      <c r="D95" s="83">
        <v>50000</v>
      </c>
      <c r="E95" s="53" t="s">
        <v>25</v>
      </c>
      <c r="F95" s="35" t="s">
        <v>12</v>
      </c>
      <c r="G95" s="35" t="s">
        <v>24</v>
      </c>
      <c r="H95" s="36"/>
      <c r="I95" s="6"/>
    </row>
    <row r="96" spans="1:10" s="57" customFormat="1" ht="39" customHeight="1" x14ac:dyDescent="0.2">
      <c r="A96" s="53">
        <v>85</v>
      </c>
      <c r="B96" s="98">
        <v>63700000</v>
      </c>
      <c r="C96" s="98" t="s">
        <v>19</v>
      </c>
      <c r="D96" s="83">
        <v>3000</v>
      </c>
      <c r="E96" s="53" t="s">
        <v>10</v>
      </c>
      <c r="F96" s="35" t="s">
        <v>12</v>
      </c>
      <c r="G96" s="35" t="s">
        <v>24</v>
      </c>
      <c r="H96" s="36"/>
    </row>
    <row r="97" spans="1:10" s="57" customFormat="1" ht="39" customHeight="1" x14ac:dyDescent="0.2">
      <c r="A97" s="53">
        <v>86</v>
      </c>
      <c r="B97" s="99"/>
      <c r="C97" s="99"/>
      <c r="D97" s="83">
        <v>2200</v>
      </c>
      <c r="E97" s="53" t="s">
        <v>10</v>
      </c>
      <c r="F97" s="35" t="s">
        <v>104</v>
      </c>
      <c r="G97" s="35" t="s">
        <v>104</v>
      </c>
      <c r="H97" s="36"/>
    </row>
    <row r="98" spans="1:10" s="30" customFormat="1" ht="27" customHeight="1" x14ac:dyDescent="0.2">
      <c r="A98" s="53">
        <v>87</v>
      </c>
      <c r="B98" s="98">
        <v>66500000</v>
      </c>
      <c r="C98" s="98" t="s">
        <v>33</v>
      </c>
      <c r="D98" s="88">
        <f>50000-26000</f>
        <v>24000</v>
      </c>
      <c r="E98" s="53" t="s">
        <v>25</v>
      </c>
      <c r="F98" s="35" t="s">
        <v>12</v>
      </c>
      <c r="G98" s="35" t="s">
        <v>24</v>
      </c>
      <c r="H98" s="36"/>
      <c r="I98" s="15"/>
      <c r="J98" s="6"/>
    </row>
    <row r="99" spans="1:10" s="30" customFormat="1" ht="28.5" customHeight="1" x14ac:dyDescent="0.2">
      <c r="A99" s="53">
        <v>88</v>
      </c>
      <c r="B99" s="99"/>
      <c r="C99" s="99"/>
      <c r="D99" s="88">
        <f>111000+30000</f>
        <v>141000</v>
      </c>
      <c r="E99" s="53" t="s">
        <v>14</v>
      </c>
      <c r="F99" s="35" t="s">
        <v>12</v>
      </c>
      <c r="G99" s="35" t="s">
        <v>24</v>
      </c>
      <c r="H99" s="36"/>
      <c r="I99" s="15"/>
      <c r="J99" s="6"/>
    </row>
    <row r="100" spans="1:10" s="30" customFormat="1" ht="35.25" customHeight="1" x14ac:dyDescent="0.2">
      <c r="A100" s="53">
        <v>89</v>
      </c>
      <c r="B100" s="53">
        <v>71600000</v>
      </c>
      <c r="C100" s="53" t="s">
        <v>143</v>
      </c>
      <c r="D100" s="83">
        <f>7000+2140</f>
        <v>9140</v>
      </c>
      <c r="E100" s="53" t="s">
        <v>10</v>
      </c>
      <c r="F100" s="35" t="s">
        <v>12</v>
      </c>
      <c r="G100" s="35" t="s">
        <v>24</v>
      </c>
      <c r="H100" s="36"/>
    </row>
    <row r="101" spans="1:10" s="30" customFormat="1" ht="28.5" customHeight="1" x14ac:dyDescent="0.2">
      <c r="A101" s="53">
        <v>90</v>
      </c>
      <c r="B101" s="53">
        <v>71900000</v>
      </c>
      <c r="C101" s="53" t="s">
        <v>144</v>
      </c>
      <c r="D101" s="83">
        <v>4900</v>
      </c>
      <c r="E101" s="53" t="s">
        <v>10</v>
      </c>
      <c r="F101" s="35" t="s">
        <v>94</v>
      </c>
      <c r="G101" s="35" t="s">
        <v>95</v>
      </c>
      <c r="H101" s="53"/>
    </row>
    <row r="102" spans="1:10" s="30" customFormat="1" ht="38.25" customHeight="1" x14ac:dyDescent="0.2">
      <c r="A102" s="53">
        <v>91</v>
      </c>
      <c r="B102" s="126">
        <v>72200000</v>
      </c>
      <c r="C102" s="98" t="s">
        <v>56</v>
      </c>
      <c r="D102" s="83">
        <v>205000</v>
      </c>
      <c r="E102" s="53" t="s">
        <v>10</v>
      </c>
      <c r="F102" s="35" t="s">
        <v>12</v>
      </c>
      <c r="G102" s="35" t="s">
        <v>24</v>
      </c>
      <c r="H102" s="36"/>
      <c r="I102" s="7"/>
    </row>
    <row r="103" spans="1:10" s="30" customFormat="1" ht="38.25" customHeight="1" x14ac:dyDescent="0.2">
      <c r="A103" s="53">
        <v>91</v>
      </c>
      <c r="B103" s="127"/>
      <c r="C103" s="99"/>
      <c r="D103" s="83">
        <v>4000</v>
      </c>
      <c r="E103" s="53" t="s">
        <v>10</v>
      </c>
      <c r="F103" s="35" t="s">
        <v>12</v>
      </c>
      <c r="G103" s="35" t="s">
        <v>24</v>
      </c>
      <c r="H103" s="36"/>
      <c r="I103" s="7"/>
    </row>
    <row r="104" spans="1:10" s="30" customFormat="1" ht="33" customHeight="1" x14ac:dyDescent="0.2">
      <c r="A104" s="53">
        <v>92</v>
      </c>
      <c r="B104" s="53">
        <v>72400000</v>
      </c>
      <c r="C104" s="53" t="s">
        <v>30</v>
      </c>
      <c r="D104" s="83">
        <f>30+100</f>
        <v>130</v>
      </c>
      <c r="E104" s="53" t="s">
        <v>32</v>
      </c>
      <c r="F104" s="35" t="s">
        <v>12</v>
      </c>
      <c r="G104" s="35" t="s">
        <v>24</v>
      </c>
      <c r="H104" s="36"/>
      <c r="I104" s="7"/>
    </row>
    <row r="105" spans="1:10" s="30" customFormat="1" ht="51" customHeight="1" x14ac:dyDescent="0.2">
      <c r="A105" s="53">
        <v>93</v>
      </c>
      <c r="B105" s="53">
        <v>77200000</v>
      </c>
      <c r="C105" s="53" t="s">
        <v>27</v>
      </c>
      <c r="D105" s="83">
        <f>16111340-70915</f>
        <v>16040425</v>
      </c>
      <c r="E105" s="53" t="s">
        <v>25</v>
      </c>
      <c r="F105" s="35" t="s">
        <v>12</v>
      </c>
      <c r="G105" s="35" t="s">
        <v>24</v>
      </c>
      <c r="H105" s="36"/>
    </row>
    <row r="106" spans="1:10" s="30" customFormat="1" ht="33" customHeight="1" x14ac:dyDescent="0.2">
      <c r="A106" s="53">
        <v>94</v>
      </c>
      <c r="B106" s="53">
        <v>79300000</v>
      </c>
      <c r="C106" s="53" t="s">
        <v>145</v>
      </c>
      <c r="D106" s="83">
        <f>3300+900</f>
        <v>4200</v>
      </c>
      <c r="E106" s="53" t="s">
        <v>32</v>
      </c>
      <c r="F106" s="35" t="s">
        <v>12</v>
      </c>
      <c r="G106" s="35" t="s">
        <v>24</v>
      </c>
      <c r="H106" s="36"/>
      <c r="I106" s="7"/>
    </row>
    <row r="107" spans="1:10" s="30" customFormat="1" ht="33" customHeight="1" x14ac:dyDescent="0.2">
      <c r="A107" s="53">
        <v>95</v>
      </c>
      <c r="B107" s="53">
        <v>79400000</v>
      </c>
      <c r="C107" s="53" t="s">
        <v>146</v>
      </c>
      <c r="D107" s="83">
        <f>2300+80</f>
        <v>2380</v>
      </c>
      <c r="E107" s="53" t="s">
        <v>32</v>
      </c>
      <c r="F107" s="35" t="s">
        <v>12</v>
      </c>
      <c r="G107" s="35" t="s">
        <v>24</v>
      </c>
      <c r="H107" s="36"/>
      <c r="I107" s="7"/>
    </row>
    <row r="108" spans="1:10" s="30" customFormat="1" ht="33" customHeight="1" x14ac:dyDescent="0.2">
      <c r="A108" s="53">
        <v>96</v>
      </c>
      <c r="B108" s="53">
        <v>79800000</v>
      </c>
      <c r="C108" s="53" t="s">
        <v>147</v>
      </c>
      <c r="D108" s="83">
        <v>3000</v>
      </c>
      <c r="E108" s="53" t="s">
        <v>10</v>
      </c>
      <c r="F108" s="35" t="s">
        <v>12</v>
      </c>
      <c r="G108" s="35" t="s">
        <v>24</v>
      </c>
      <c r="H108" s="36"/>
      <c r="I108" s="6"/>
    </row>
    <row r="109" spans="1:10" s="30" customFormat="1" ht="40.5" customHeight="1" x14ac:dyDescent="0.2">
      <c r="A109" s="53">
        <v>97</v>
      </c>
      <c r="B109" s="98">
        <v>79900000</v>
      </c>
      <c r="C109" s="98" t="s">
        <v>75</v>
      </c>
      <c r="D109" s="83">
        <f>5000</f>
        <v>5000</v>
      </c>
      <c r="E109" s="53" t="s">
        <v>10</v>
      </c>
      <c r="F109" s="35" t="s">
        <v>12</v>
      </c>
      <c r="G109" s="35" t="s">
        <v>24</v>
      </c>
      <c r="H109" s="36"/>
    </row>
    <row r="110" spans="1:10" s="30" customFormat="1" ht="40.5" customHeight="1" x14ac:dyDescent="0.2">
      <c r="A110" s="53">
        <v>98</v>
      </c>
      <c r="B110" s="101"/>
      <c r="C110" s="101"/>
      <c r="D110" s="83">
        <f>9990+8000</f>
        <v>17990</v>
      </c>
      <c r="E110" s="53" t="s">
        <v>10</v>
      </c>
      <c r="F110" s="35" t="s">
        <v>12</v>
      </c>
      <c r="G110" s="35" t="s">
        <v>24</v>
      </c>
      <c r="H110" s="36"/>
    </row>
    <row r="111" spans="1:10" s="30" customFormat="1" ht="40.5" customHeight="1" x14ac:dyDescent="0.2">
      <c r="A111" s="53">
        <v>99</v>
      </c>
      <c r="B111" s="99"/>
      <c r="C111" s="99"/>
      <c r="D111" s="83">
        <v>9900</v>
      </c>
      <c r="E111" s="53" t="s">
        <v>10</v>
      </c>
      <c r="F111" s="35" t="s">
        <v>99</v>
      </c>
      <c r="G111" s="35" t="s">
        <v>100</v>
      </c>
      <c r="H111" s="36"/>
    </row>
    <row r="112" spans="1:10" s="30" customFormat="1" ht="33" customHeight="1" x14ac:dyDescent="0.2">
      <c r="A112" s="53">
        <v>100</v>
      </c>
      <c r="B112" s="53">
        <v>80500000</v>
      </c>
      <c r="C112" s="53" t="s">
        <v>148</v>
      </c>
      <c r="D112" s="83">
        <f>4000+2570</f>
        <v>6570</v>
      </c>
      <c r="E112" s="53" t="s">
        <v>10</v>
      </c>
      <c r="F112" s="35" t="s">
        <v>12</v>
      </c>
      <c r="G112" s="35" t="s">
        <v>24</v>
      </c>
      <c r="H112" s="36"/>
    </row>
    <row r="113" spans="1:13" s="30" customFormat="1" ht="29.25" customHeight="1" x14ac:dyDescent="0.2">
      <c r="A113" s="53">
        <v>101</v>
      </c>
      <c r="B113" s="53">
        <v>90900000</v>
      </c>
      <c r="C113" s="53" t="s">
        <v>53</v>
      </c>
      <c r="D113" s="83">
        <v>70000</v>
      </c>
      <c r="E113" s="53" t="s">
        <v>25</v>
      </c>
      <c r="F113" s="35" t="s">
        <v>12</v>
      </c>
      <c r="G113" s="35" t="s">
        <v>24</v>
      </c>
      <c r="H113" s="36"/>
      <c r="I113" s="7"/>
      <c r="J113" s="6"/>
      <c r="L113" s="8"/>
    </row>
    <row r="114" spans="1:13" s="30" customFormat="1" ht="37.5" customHeight="1" x14ac:dyDescent="0.2">
      <c r="A114" s="53">
        <v>102</v>
      </c>
      <c r="B114" s="53">
        <v>92500000</v>
      </c>
      <c r="C114" s="53" t="s">
        <v>37</v>
      </c>
      <c r="D114" s="83">
        <f>77000-5100</f>
        <v>71900</v>
      </c>
      <c r="E114" s="53" t="s">
        <v>10</v>
      </c>
      <c r="F114" s="35" t="s">
        <v>12</v>
      </c>
      <c r="G114" s="35" t="s">
        <v>24</v>
      </c>
      <c r="H114" s="36"/>
      <c r="I114" s="6"/>
    </row>
    <row r="115" spans="1:13" s="30" customFormat="1" ht="30" customHeight="1" x14ac:dyDescent="0.2">
      <c r="A115" s="53">
        <v>103</v>
      </c>
      <c r="B115" s="53">
        <v>98300000</v>
      </c>
      <c r="C115" s="53" t="s">
        <v>149</v>
      </c>
      <c r="D115" s="83">
        <f>8000-447</f>
        <v>7553</v>
      </c>
      <c r="E115" s="53" t="s">
        <v>10</v>
      </c>
      <c r="F115" s="35" t="s">
        <v>12</v>
      </c>
      <c r="G115" s="35" t="s">
        <v>24</v>
      </c>
      <c r="H115" s="36"/>
    </row>
    <row r="116" spans="1:13" s="30" customFormat="1" ht="15.75" x14ac:dyDescent="0.2">
      <c r="A116" s="57"/>
      <c r="B116" s="57"/>
      <c r="C116" s="39"/>
      <c r="D116" s="64"/>
      <c r="E116" s="19"/>
      <c r="F116" s="65"/>
    </row>
    <row r="117" spans="1:13" ht="15.75" customHeight="1" x14ac:dyDescent="0.2">
      <c r="C117" s="59"/>
      <c r="D117" s="32"/>
      <c r="F117" s="19"/>
    </row>
    <row r="118" spans="1:13" ht="17.25" customHeight="1" x14ac:dyDescent="0.2">
      <c r="A118" s="66"/>
      <c r="B118" s="67"/>
      <c r="C118" s="68"/>
      <c r="D118" s="69"/>
      <c r="E118" s="63"/>
      <c r="F118" s="63"/>
      <c r="G118" s="63"/>
      <c r="H118" s="70"/>
    </row>
    <row r="119" spans="1:13" ht="27.75" customHeight="1" x14ac:dyDescent="0.2">
      <c r="A119" s="30"/>
      <c r="B119" s="100" t="s">
        <v>150</v>
      </c>
      <c r="C119" s="100"/>
    </row>
    <row r="120" spans="1:13" ht="13.5" customHeight="1" x14ac:dyDescent="0.2">
      <c r="A120" s="30"/>
      <c r="B120" s="30"/>
      <c r="D120" s="4"/>
      <c r="E120" s="95" t="s">
        <v>9</v>
      </c>
      <c r="F120" s="95"/>
    </row>
    <row r="121" spans="1:13" ht="20.25" customHeight="1" x14ac:dyDescent="0.2">
      <c r="A121" s="30"/>
      <c r="B121" s="30"/>
    </row>
    <row r="122" spans="1:13" x14ac:dyDescent="0.2">
      <c r="B122" s="30"/>
    </row>
    <row r="123" spans="1:13" x14ac:dyDescent="0.2">
      <c r="A123" s="66"/>
      <c r="B123" s="125"/>
      <c r="C123" s="125"/>
      <c r="D123" s="71"/>
    </row>
    <row r="124" spans="1:13" ht="13.5" customHeight="1" x14ac:dyDescent="0.2">
      <c r="A124" s="30"/>
      <c r="B124" s="100" t="s">
        <v>20</v>
      </c>
      <c r="C124" s="100"/>
      <c r="D124" s="56"/>
    </row>
    <row r="125" spans="1:13" x14ac:dyDescent="0.2">
      <c r="A125" s="30"/>
      <c r="B125" s="30"/>
      <c r="E125" s="95" t="s">
        <v>9</v>
      </c>
      <c r="F125" s="95"/>
    </row>
    <row r="128" spans="1:13" x14ac:dyDescent="0.2">
      <c r="L128" s="1"/>
      <c r="M128" s="1"/>
    </row>
    <row r="129" spans="3:13" x14ac:dyDescent="0.2">
      <c r="C129" s="59"/>
      <c r="L129" s="1"/>
      <c r="M129" s="1"/>
    </row>
    <row r="130" spans="3:13" x14ac:dyDescent="0.2">
      <c r="C130" s="59"/>
      <c r="E130" s="59"/>
      <c r="L130" s="1"/>
      <c r="M130" s="1"/>
    </row>
    <row r="131" spans="3:13" ht="19.5" customHeight="1" x14ac:dyDescent="0.2">
      <c r="C131" s="59"/>
      <c r="L131" s="1"/>
      <c r="M131" s="1"/>
    </row>
    <row r="132" spans="3:13" x14ac:dyDescent="0.2">
      <c r="L132" s="1"/>
      <c r="M132" s="1"/>
    </row>
    <row r="133" spans="3:13" ht="24.75" customHeight="1" x14ac:dyDescent="0.2">
      <c r="C133" s="19"/>
      <c r="L133" s="1"/>
      <c r="M133" s="1"/>
    </row>
    <row r="134" spans="3:13" ht="22.5" customHeight="1" x14ac:dyDescent="0.2">
      <c r="L134" s="1"/>
      <c r="M134" s="1"/>
    </row>
    <row r="135" spans="3:13" x14ac:dyDescent="0.2">
      <c r="C135" s="5"/>
      <c r="L135" s="1"/>
      <c r="M135" s="1"/>
    </row>
  </sheetData>
  <sheetProtection algorithmName="SHA-512" hashValue="rfoNdyHEef6gR4ZMNBBTvV1aE51CsKnITHr2N5vOKTKt7MWKb3CERirP31vkQhRcG4c6FdGNo/bB5WwZoKXLYA==" saltValue="lbmdp+YaMeBEV4jGnaOqFA==" spinCount="100000" sheet="1" objects="1" scenarios="1"/>
  <mergeCells count="52">
    <mergeCell ref="C3:G3"/>
    <mergeCell ref="A4:E5"/>
    <mergeCell ref="F4:H4"/>
    <mergeCell ref="F5:H5"/>
    <mergeCell ref="A6:E6"/>
    <mergeCell ref="F6:H7"/>
    <mergeCell ref="A7:E7"/>
    <mergeCell ref="A8:H8"/>
    <mergeCell ref="A9:H9"/>
    <mergeCell ref="B14:B15"/>
    <mergeCell ref="C14:C15"/>
    <mergeCell ref="B19:B20"/>
    <mergeCell ref="C19:C20"/>
    <mergeCell ref="B24:B25"/>
    <mergeCell ref="C24:C25"/>
    <mergeCell ref="B34:B36"/>
    <mergeCell ref="C34:C36"/>
    <mergeCell ref="B37:B39"/>
    <mergeCell ref="C37:C39"/>
    <mergeCell ref="B45:B46"/>
    <mergeCell ref="C45:C46"/>
    <mergeCell ref="B49:B50"/>
    <mergeCell ref="C49:C50"/>
    <mergeCell ref="B57:B58"/>
    <mergeCell ref="C57:C58"/>
    <mergeCell ref="B61:B62"/>
    <mergeCell ref="C61:C62"/>
    <mergeCell ref="B63:B64"/>
    <mergeCell ref="C63:C64"/>
    <mergeCell ref="B66:B67"/>
    <mergeCell ref="C66:C67"/>
    <mergeCell ref="B69:B70"/>
    <mergeCell ref="C69:C70"/>
    <mergeCell ref="B74:B75"/>
    <mergeCell ref="C74:C75"/>
    <mergeCell ref="B80:B81"/>
    <mergeCell ref="C80:C81"/>
    <mergeCell ref="B123:C123"/>
    <mergeCell ref="B124:C124"/>
    <mergeCell ref="E125:F125"/>
    <mergeCell ref="E120:F120"/>
    <mergeCell ref="B89:B92"/>
    <mergeCell ref="C89:C92"/>
    <mergeCell ref="B96:B97"/>
    <mergeCell ref="C96:C97"/>
    <mergeCell ref="B98:B99"/>
    <mergeCell ref="C98:C99"/>
    <mergeCell ref="B102:B103"/>
    <mergeCell ref="C102:C103"/>
    <mergeCell ref="B109:B111"/>
    <mergeCell ref="C109:C111"/>
    <mergeCell ref="B119:C119"/>
  </mergeCells>
  <pageMargins left="0.7" right="0.7" top="0.75" bottom="0.75" header="0.3" footer="0.3"/>
  <pageSetup scale="61" orientation="portrait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7"/>
  <sheetViews>
    <sheetView zoomScaleNormal="100" workbookViewId="0">
      <selection activeCell="O19" sqref="O19"/>
    </sheetView>
  </sheetViews>
  <sheetFormatPr defaultRowHeight="13.5" x14ac:dyDescent="0.2"/>
  <cols>
    <col min="1" max="1" width="3.85546875" style="9" customWidth="1"/>
    <col min="2" max="2" width="10" style="57" customWidth="1"/>
    <col min="3" max="3" width="53.7109375" style="30" customWidth="1"/>
    <col min="4" max="4" width="11.5703125" style="3" customWidth="1"/>
    <col min="5" max="5" width="10.42578125" style="30" customWidth="1"/>
    <col min="6" max="6" width="11.85546875" style="30" customWidth="1"/>
    <col min="7" max="7" width="10.7109375" style="30" customWidth="1"/>
    <col min="8" max="8" width="32" style="30" customWidth="1"/>
    <col min="9" max="9" width="12.42578125" style="57" customWidth="1"/>
    <col min="10" max="16384" width="9.140625" style="30"/>
  </cols>
  <sheetData>
    <row r="1" spans="1:9" ht="18" customHeight="1" x14ac:dyDescent="0.2"/>
    <row r="2" spans="1:9" ht="13.5" customHeight="1" x14ac:dyDescent="0.2">
      <c r="B2" s="30"/>
      <c r="H2" s="17" t="s">
        <v>151</v>
      </c>
    </row>
    <row r="3" spans="1:9" ht="20.25" customHeight="1" x14ac:dyDescent="0.2">
      <c r="B3" s="30"/>
      <c r="C3" s="105" t="s">
        <v>152</v>
      </c>
      <c r="D3" s="105"/>
      <c r="E3" s="105"/>
      <c r="F3" s="105"/>
      <c r="G3" s="105"/>
    </row>
    <row r="4" spans="1:9" ht="26.25" customHeight="1" x14ac:dyDescent="0.2">
      <c r="A4" s="132" t="s">
        <v>153</v>
      </c>
      <c r="B4" s="133"/>
      <c r="C4" s="133"/>
      <c r="D4" s="133"/>
      <c r="E4" s="134"/>
      <c r="F4" s="112" t="s">
        <v>7</v>
      </c>
      <c r="G4" s="113"/>
      <c r="H4" s="114"/>
    </row>
    <row r="5" spans="1:9" ht="18.75" customHeight="1" x14ac:dyDescent="0.2">
      <c r="A5" s="135"/>
      <c r="B5" s="136"/>
      <c r="C5" s="136"/>
      <c r="D5" s="136"/>
      <c r="E5" s="137"/>
      <c r="F5" s="115">
        <v>204578581</v>
      </c>
      <c r="G5" s="116"/>
      <c r="H5" s="117"/>
    </row>
    <row r="6" spans="1:9" ht="25.5" customHeight="1" x14ac:dyDescent="0.2">
      <c r="A6" s="106" t="s">
        <v>8</v>
      </c>
      <c r="B6" s="107"/>
      <c r="C6" s="107"/>
      <c r="D6" s="107"/>
      <c r="E6" s="108"/>
      <c r="F6" s="106" t="s">
        <v>154</v>
      </c>
      <c r="G6" s="118"/>
      <c r="H6" s="119"/>
    </row>
    <row r="7" spans="1:9" ht="43.5" customHeight="1" x14ac:dyDescent="0.2">
      <c r="A7" s="115" t="s">
        <v>155</v>
      </c>
      <c r="B7" s="116"/>
      <c r="C7" s="116"/>
      <c r="D7" s="116"/>
      <c r="E7" s="117"/>
      <c r="F7" s="120"/>
      <c r="G7" s="121"/>
      <c r="H7" s="122"/>
    </row>
    <row r="8" spans="1:9" ht="21" customHeight="1" x14ac:dyDescent="0.2">
      <c r="A8" s="106" t="s">
        <v>15</v>
      </c>
      <c r="B8" s="107"/>
      <c r="C8" s="107"/>
      <c r="D8" s="107"/>
      <c r="E8" s="107"/>
      <c r="F8" s="107"/>
      <c r="G8" s="107"/>
      <c r="H8" s="108"/>
    </row>
    <row r="9" spans="1:9" s="57" customFormat="1" ht="15.75" customHeight="1" x14ac:dyDescent="0.2">
      <c r="A9" s="138">
        <v>5350444</v>
      </c>
      <c r="B9" s="139"/>
      <c r="C9" s="139"/>
      <c r="D9" s="139"/>
      <c r="E9" s="139"/>
      <c r="F9" s="139"/>
      <c r="G9" s="139"/>
      <c r="H9" s="139"/>
    </row>
    <row r="10" spans="1:9" s="57" customFormat="1" ht="71.25" customHeight="1" x14ac:dyDescent="0.2">
      <c r="A10" s="53" t="s">
        <v>1</v>
      </c>
      <c r="B10" s="53" t="s">
        <v>2</v>
      </c>
      <c r="C10" s="53" t="s">
        <v>3</v>
      </c>
      <c r="D10" s="93" t="s">
        <v>38</v>
      </c>
      <c r="E10" s="53" t="s">
        <v>4</v>
      </c>
      <c r="F10" s="53" t="s">
        <v>5</v>
      </c>
      <c r="G10" s="53" t="s">
        <v>6</v>
      </c>
      <c r="H10" s="53" t="s">
        <v>0</v>
      </c>
    </row>
    <row r="11" spans="1:9" s="57" customFormat="1" ht="15" customHeight="1" x14ac:dyDescent="0.2">
      <c r="A11" s="53">
        <v>1</v>
      </c>
      <c r="B11" s="53">
        <v>2</v>
      </c>
      <c r="C11" s="53">
        <v>3</v>
      </c>
      <c r="D11" s="83">
        <v>4</v>
      </c>
      <c r="E11" s="53">
        <v>5</v>
      </c>
      <c r="F11" s="53">
        <v>6</v>
      </c>
      <c r="G11" s="53">
        <v>7</v>
      </c>
      <c r="H11" s="53">
        <v>8</v>
      </c>
    </row>
    <row r="12" spans="1:9" ht="24" customHeight="1" x14ac:dyDescent="0.2">
      <c r="A12" s="53">
        <v>1</v>
      </c>
      <c r="B12" s="53">
        <v>30200000</v>
      </c>
      <c r="C12" s="53" t="s">
        <v>121</v>
      </c>
      <c r="D12" s="90">
        <f>509010-400000</f>
        <v>109010</v>
      </c>
      <c r="E12" s="53" t="s">
        <v>25</v>
      </c>
      <c r="F12" s="35" t="s">
        <v>12</v>
      </c>
      <c r="G12" s="35" t="s">
        <v>24</v>
      </c>
      <c r="H12" s="36"/>
    </row>
    <row r="13" spans="1:9" ht="36" customHeight="1" x14ac:dyDescent="0.2">
      <c r="A13" s="53">
        <v>2</v>
      </c>
      <c r="B13" s="53">
        <v>32200000</v>
      </c>
      <c r="C13" s="53" t="s">
        <v>59</v>
      </c>
      <c r="D13" s="84">
        <v>78960</v>
      </c>
      <c r="E13" s="53" t="s">
        <v>25</v>
      </c>
      <c r="F13" s="35" t="s">
        <v>12</v>
      </c>
      <c r="G13" s="35" t="s">
        <v>24</v>
      </c>
      <c r="H13" s="41"/>
      <c r="I13" s="63"/>
    </row>
    <row r="14" spans="1:9" ht="23.25" customHeight="1" x14ac:dyDescent="0.2">
      <c r="A14" s="53">
        <v>3</v>
      </c>
      <c r="B14" s="53">
        <v>34100000</v>
      </c>
      <c r="C14" s="53" t="s">
        <v>81</v>
      </c>
      <c r="D14" s="84">
        <f>1971222-483000</f>
        <v>1488222</v>
      </c>
      <c r="E14" s="53" t="s">
        <v>25</v>
      </c>
      <c r="F14" s="35" t="s">
        <v>12</v>
      </c>
      <c r="G14" s="35" t="s">
        <v>24</v>
      </c>
      <c r="H14" s="36"/>
    </row>
    <row r="15" spans="1:9" ht="34.5" customHeight="1" x14ac:dyDescent="0.2">
      <c r="A15" s="53">
        <v>4</v>
      </c>
      <c r="B15" s="53">
        <v>35600000</v>
      </c>
      <c r="C15" s="53" t="s">
        <v>126</v>
      </c>
      <c r="D15" s="84">
        <v>70000</v>
      </c>
      <c r="E15" s="53" t="s">
        <v>25</v>
      </c>
      <c r="F15" s="35" t="s">
        <v>12</v>
      </c>
      <c r="G15" s="35" t="s">
        <v>24</v>
      </c>
      <c r="H15" s="36"/>
    </row>
    <row r="16" spans="1:9" ht="25.5" customHeight="1" x14ac:dyDescent="0.2">
      <c r="A16" s="53">
        <v>5</v>
      </c>
      <c r="B16" s="53">
        <v>38300000</v>
      </c>
      <c r="C16" s="53" t="s">
        <v>156</v>
      </c>
      <c r="D16" s="84">
        <f>36660-36660</f>
        <v>0</v>
      </c>
      <c r="E16" s="53" t="s">
        <v>25</v>
      </c>
      <c r="F16" s="35" t="s">
        <v>12</v>
      </c>
      <c r="G16" s="35" t="s">
        <v>24</v>
      </c>
      <c r="H16" s="36"/>
    </row>
    <row r="17" spans="1:11" ht="25.5" customHeight="1" x14ac:dyDescent="0.2">
      <c r="A17" s="53">
        <v>6</v>
      </c>
      <c r="B17" s="98">
        <v>38600000</v>
      </c>
      <c r="C17" s="98" t="s">
        <v>130</v>
      </c>
      <c r="D17" s="84">
        <v>82000</v>
      </c>
      <c r="E17" s="53" t="s">
        <v>25</v>
      </c>
      <c r="F17" s="35" t="s">
        <v>12</v>
      </c>
      <c r="G17" s="35" t="s">
        <v>24</v>
      </c>
      <c r="H17" s="36"/>
    </row>
    <row r="18" spans="1:11" ht="25.5" customHeight="1" x14ac:dyDescent="0.2">
      <c r="A18" s="53">
        <v>7</v>
      </c>
      <c r="B18" s="99"/>
      <c r="C18" s="99"/>
      <c r="D18" s="83">
        <v>1000</v>
      </c>
      <c r="E18" s="53" t="s">
        <v>25</v>
      </c>
      <c r="F18" s="35" t="s">
        <v>12</v>
      </c>
      <c r="G18" s="35" t="s">
        <v>24</v>
      </c>
      <c r="H18" s="36"/>
    </row>
    <row r="19" spans="1:11" ht="24.75" customHeight="1" x14ac:dyDescent="0.2">
      <c r="A19" s="53">
        <v>8</v>
      </c>
      <c r="B19" s="53">
        <v>39100000</v>
      </c>
      <c r="C19" s="53" t="s">
        <v>11</v>
      </c>
      <c r="D19" s="84">
        <f>9000-9000</f>
        <v>0</v>
      </c>
      <c r="E19" s="53" t="s">
        <v>25</v>
      </c>
      <c r="F19" s="35" t="s">
        <v>12</v>
      </c>
      <c r="G19" s="35" t="s">
        <v>24</v>
      </c>
      <c r="H19" s="36"/>
      <c r="K19" s="8"/>
    </row>
    <row r="20" spans="1:11" ht="28.5" customHeight="1" x14ac:dyDescent="0.2">
      <c r="A20" s="53">
        <v>9</v>
      </c>
      <c r="B20" s="53">
        <v>39500000</v>
      </c>
      <c r="C20" s="53" t="s">
        <v>131</v>
      </c>
      <c r="D20" s="83">
        <v>5000</v>
      </c>
      <c r="E20" s="53" t="s">
        <v>10</v>
      </c>
      <c r="F20" s="35" t="s">
        <v>99</v>
      </c>
      <c r="G20" s="35" t="s">
        <v>100</v>
      </c>
      <c r="H20" s="53"/>
      <c r="I20" s="16"/>
    </row>
    <row r="21" spans="1:11" ht="32.25" customHeight="1" x14ac:dyDescent="0.2">
      <c r="A21" s="53">
        <v>10</v>
      </c>
      <c r="B21" s="53">
        <v>43200000</v>
      </c>
      <c r="C21" s="53" t="s">
        <v>82</v>
      </c>
      <c r="D21" s="84">
        <v>311000</v>
      </c>
      <c r="E21" s="53" t="s">
        <v>25</v>
      </c>
      <c r="F21" s="35" t="s">
        <v>12</v>
      </c>
      <c r="G21" s="35" t="s">
        <v>24</v>
      </c>
      <c r="H21" s="36"/>
    </row>
    <row r="22" spans="1:11" ht="32.25" customHeight="1" x14ac:dyDescent="0.2">
      <c r="A22" s="53">
        <v>11</v>
      </c>
      <c r="B22" s="53">
        <v>43300000</v>
      </c>
      <c r="C22" s="53" t="s">
        <v>157</v>
      </c>
      <c r="D22" s="84">
        <f>729120-729120</f>
        <v>0</v>
      </c>
      <c r="E22" s="53" t="s">
        <v>25</v>
      </c>
      <c r="F22" s="35" t="s">
        <v>12</v>
      </c>
      <c r="G22" s="35" t="s">
        <v>24</v>
      </c>
      <c r="H22" s="36"/>
    </row>
    <row r="23" spans="1:11" ht="29.25" customHeight="1" x14ac:dyDescent="0.2">
      <c r="A23" s="53">
        <v>12</v>
      </c>
      <c r="B23" s="53">
        <v>43800000</v>
      </c>
      <c r="C23" s="53" t="s">
        <v>135</v>
      </c>
      <c r="D23" s="84">
        <v>55000</v>
      </c>
      <c r="E23" s="53" t="s">
        <v>25</v>
      </c>
      <c r="F23" s="35" t="s">
        <v>99</v>
      </c>
      <c r="G23" s="35" t="s">
        <v>100</v>
      </c>
      <c r="H23" s="36"/>
      <c r="I23" s="45"/>
      <c r="J23" s="7"/>
    </row>
    <row r="24" spans="1:11" ht="39.75" customHeight="1" x14ac:dyDescent="0.2">
      <c r="A24" s="53">
        <v>14</v>
      </c>
      <c r="B24" s="53">
        <v>45200000</v>
      </c>
      <c r="C24" s="53" t="s">
        <v>65</v>
      </c>
      <c r="D24" s="84">
        <v>2078808</v>
      </c>
      <c r="E24" s="53" t="s">
        <v>25</v>
      </c>
      <c r="F24" s="35" t="s">
        <v>12</v>
      </c>
      <c r="G24" s="35" t="s">
        <v>24</v>
      </c>
      <c r="H24" s="36"/>
      <c r="I24" s="46"/>
      <c r="J24" s="23"/>
      <c r="K24" s="7"/>
    </row>
    <row r="25" spans="1:11" ht="42" customHeight="1" x14ac:dyDescent="0.2">
      <c r="A25" s="53">
        <v>15</v>
      </c>
      <c r="B25" s="53">
        <v>50100000</v>
      </c>
      <c r="C25" s="53" t="s">
        <v>23</v>
      </c>
      <c r="D25" s="83">
        <f>82700-82700</f>
        <v>0</v>
      </c>
      <c r="E25" s="53" t="s">
        <v>10</v>
      </c>
      <c r="F25" s="35" t="s">
        <v>12</v>
      </c>
      <c r="G25" s="35" t="s">
        <v>24</v>
      </c>
      <c r="H25" s="94"/>
    </row>
    <row r="26" spans="1:11" s="57" customFormat="1" ht="22.5" customHeight="1" x14ac:dyDescent="0.2">
      <c r="A26" s="53">
        <v>16</v>
      </c>
      <c r="B26" s="98">
        <v>55100000</v>
      </c>
      <c r="C26" s="98" t="s">
        <v>158</v>
      </c>
      <c r="D26" s="83">
        <v>23000</v>
      </c>
      <c r="E26" s="53" t="s">
        <v>25</v>
      </c>
      <c r="F26" s="35" t="s">
        <v>12</v>
      </c>
      <c r="G26" s="35" t="s">
        <v>24</v>
      </c>
      <c r="H26" s="94"/>
    </row>
    <row r="27" spans="1:11" s="57" customFormat="1" ht="25.5" customHeight="1" x14ac:dyDescent="0.2">
      <c r="A27" s="53">
        <v>17</v>
      </c>
      <c r="B27" s="99"/>
      <c r="C27" s="99"/>
      <c r="D27" s="83">
        <v>5045</v>
      </c>
      <c r="E27" s="53" t="s">
        <v>10</v>
      </c>
      <c r="F27" s="35" t="s">
        <v>94</v>
      </c>
      <c r="G27" s="35" t="s">
        <v>95</v>
      </c>
      <c r="H27" s="94"/>
    </row>
    <row r="28" spans="1:11" s="57" customFormat="1" ht="28.5" customHeight="1" x14ac:dyDescent="0.2">
      <c r="A28" s="53">
        <v>18</v>
      </c>
      <c r="B28" s="53">
        <v>55300000</v>
      </c>
      <c r="C28" s="53" t="s">
        <v>76</v>
      </c>
      <c r="D28" s="83">
        <v>0</v>
      </c>
      <c r="E28" s="53" t="s">
        <v>10</v>
      </c>
      <c r="F28" s="35" t="s">
        <v>12</v>
      </c>
      <c r="G28" s="35" t="s">
        <v>24</v>
      </c>
      <c r="H28" s="94"/>
    </row>
    <row r="29" spans="1:11" s="57" customFormat="1" ht="28.5" customHeight="1" x14ac:dyDescent="0.2">
      <c r="A29" s="53">
        <v>19</v>
      </c>
      <c r="B29" s="53">
        <v>60100000</v>
      </c>
      <c r="C29" s="53" t="s">
        <v>159</v>
      </c>
      <c r="D29" s="83">
        <v>0</v>
      </c>
      <c r="E29" s="53" t="s">
        <v>10</v>
      </c>
      <c r="F29" s="35" t="s">
        <v>12</v>
      </c>
      <c r="G29" s="35" t="s">
        <v>24</v>
      </c>
      <c r="H29" s="94"/>
    </row>
    <row r="30" spans="1:11" s="57" customFormat="1" ht="28.5" customHeight="1" x14ac:dyDescent="0.2">
      <c r="A30" s="53">
        <v>20</v>
      </c>
      <c r="B30" s="53">
        <v>66100000</v>
      </c>
      <c r="C30" s="53" t="s">
        <v>160</v>
      </c>
      <c r="D30" s="83">
        <v>0</v>
      </c>
      <c r="E30" s="53" t="s">
        <v>10</v>
      </c>
      <c r="F30" s="35" t="s">
        <v>12</v>
      </c>
      <c r="G30" s="35" t="s">
        <v>24</v>
      </c>
      <c r="H30" s="36"/>
    </row>
    <row r="31" spans="1:11" ht="30.75" customHeight="1" x14ac:dyDescent="0.2">
      <c r="A31" s="53">
        <v>21</v>
      </c>
      <c r="B31" s="53">
        <v>73100000</v>
      </c>
      <c r="C31" s="53" t="s">
        <v>161</v>
      </c>
      <c r="D31" s="83">
        <v>66000</v>
      </c>
      <c r="E31" s="53" t="s">
        <v>25</v>
      </c>
      <c r="F31" s="35" t="s">
        <v>94</v>
      </c>
      <c r="G31" s="35" t="s">
        <v>95</v>
      </c>
      <c r="H31" s="36"/>
    </row>
    <row r="32" spans="1:11" ht="27" customHeight="1" x14ac:dyDescent="0.2">
      <c r="A32" s="53">
        <v>22</v>
      </c>
      <c r="B32" s="53">
        <v>77200000</v>
      </c>
      <c r="C32" s="53" t="s">
        <v>27</v>
      </c>
      <c r="D32" s="83">
        <v>911699</v>
      </c>
      <c r="E32" s="53" t="s">
        <v>25</v>
      </c>
      <c r="F32" s="35" t="s">
        <v>12</v>
      </c>
      <c r="G32" s="35" t="s">
        <v>24</v>
      </c>
      <c r="H32" s="36"/>
    </row>
    <row r="33" spans="1:9" ht="26.25" customHeight="1" x14ac:dyDescent="0.2">
      <c r="A33" s="53">
        <v>23</v>
      </c>
      <c r="B33" s="53">
        <v>79200000</v>
      </c>
      <c r="C33" s="53" t="s">
        <v>162</v>
      </c>
      <c r="D33" s="83">
        <v>0</v>
      </c>
      <c r="E33" s="53" t="s">
        <v>25</v>
      </c>
      <c r="F33" s="35" t="s">
        <v>12</v>
      </c>
      <c r="G33" s="35" t="s">
        <v>24</v>
      </c>
      <c r="H33" s="36"/>
    </row>
    <row r="34" spans="1:9" ht="30.75" customHeight="1" x14ac:dyDescent="0.2">
      <c r="A34" s="53">
        <v>24</v>
      </c>
      <c r="B34" s="53">
        <v>79400000</v>
      </c>
      <c r="C34" s="53" t="s">
        <v>146</v>
      </c>
      <c r="D34" s="83">
        <v>20700</v>
      </c>
      <c r="E34" s="53" t="s">
        <v>25</v>
      </c>
      <c r="F34" s="35" t="s">
        <v>12</v>
      </c>
      <c r="G34" s="35" t="s">
        <v>24</v>
      </c>
      <c r="H34" s="36"/>
    </row>
    <row r="35" spans="1:9" ht="31.5" customHeight="1" x14ac:dyDescent="0.2">
      <c r="A35" s="53">
        <v>25</v>
      </c>
      <c r="B35" s="53">
        <v>79500000</v>
      </c>
      <c r="C35" s="53" t="s">
        <v>79</v>
      </c>
      <c r="D35" s="83">
        <f>30000-10000</f>
        <v>20000</v>
      </c>
      <c r="E35" s="53" t="s">
        <v>25</v>
      </c>
      <c r="F35" s="35" t="s">
        <v>12</v>
      </c>
      <c r="G35" s="35" t="s">
        <v>24</v>
      </c>
      <c r="H35" s="36"/>
    </row>
    <row r="36" spans="1:9" ht="27.75" customHeight="1" x14ac:dyDescent="0.2">
      <c r="A36" s="53">
        <v>26</v>
      </c>
      <c r="B36" s="53">
        <v>80500000</v>
      </c>
      <c r="C36" s="53" t="s">
        <v>148</v>
      </c>
      <c r="D36" s="83">
        <v>25000</v>
      </c>
      <c r="E36" s="53" t="s">
        <v>25</v>
      </c>
      <c r="F36" s="35" t="s">
        <v>12</v>
      </c>
      <c r="G36" s="35" t="s">
        <v>24</v>
      </c>
      <c r="H36" s="36"/>
    </row>
    <row r="37" spans="1:9" s="8" customFormat="1" ht="16.5" customHeight="1" x14ac:dyDescent="0.2">
      <c r="A37" s="72"/>
      <c r="B37" s="73"/>
      <c r="C37" s="74"/>
      <c r="D37" s="75">
        <f>SUM(D12:D36)</f>
        <v>5350444</v>
      </c>
      <c r="E37" s="76"/>
      <c r="F37" s="63"/>
      <c r="G37" s="63"/>
      <c r="H37" s="77"/>
      <c r="I37" s="12"/>
    </row>
    <row r="38" spans="1:9" ht="12" customHeight="1" x14ac:dyDescent="0.2">
      <c r="A38" s="72"/>
      <c r="B38" s="67"/>
      <c r="C38" s="68"/>
      <c r="D38" s="75"/>
      <c r="E38" s="78"/>
      <c r="F38" s="63"/>
      <c r="G38" s="63"/>
      <c r="H38" s="70"/>
    </row>
    <row r="39" spans="1:9" ht="38.25" customHeight="1" x14ac:dyDescent="0.2">
      <c r="B39" s="100" t="s">
        <v>163</v>
      </c>
      <c r="C39" s="100"/>
    </row>
    <row r="40" spans="1:9" ht="13.5" customHeight="1" x14ac:dyDescent="0.2">
      <c r="B40" s="30"/>
      <c r="D40" s="4"/>
      <c r="E40" s="95" t="s">
        <v>9</v>
      </c>
      <c r="F40" s="95"/>
    </row>
    <row r="41" spans="1:9" ht="37.5" customHeight="1" x14ac:dyDescent="0.2">
      <c r="B41" s="30"/>
    </row>
    <row r="42" spans="1:9" x14ac:dyDescent="0.2">
      <c r="B42" s="30"/>
    </row>
    <row r="43" spans="1:9" ht="21.75" customHeight="1" x14ac:dyDescent="0.2">
      <c r="B43" s="125"/>
      <c r="C43" s="125"/>
      <c r="D43" s="125"/>
    </row>
    <row r="44" spans="1:9" ht="13.5" customHeight="1" x14ac:dyDescent="0.2">
      <c r="B44" s="100" t="s">
        <v>20</v>
      </c>
      <c r="C44" s="100"/>
      <c r="D44" s="100"/>
    </row>
    <row r="45" spans="1:9" x14ac:dyDescent="0.2">
      <c r="B45" s="30"/>
      <c r="E45" s="95" t="s">
        <v>9</v>
      </c>
      <c r="F45" s="95"/>
    </row>
    <row r="50" spans="3:13" x14ac:dyDescent="0.2">
      <c r="L50" s="6"/>
      <c r="M50" s="6"/>
    </row>
    <row r="51" spans="3:13" x14ac:dyDescent="0.2">
      <c r="C51" s="65"/>
      <c r="L51" s="6"/>
      <c r="M51" s="6"/>
    </row>
    <row r="52" spans="3:13" x14ac:dyDescent="0.2">
      <c r="C52" s="79"/>
      <c r="E52" s="59"/>
      <c r="L52" s="6"/>
      <c r="M52" s="6"/>
    </row>
    <row r="53" spans="3:13" ht="19.5" customHeight="1" x14ac:dyDescent="0.2">
      <c r="C53" s="80"/>
      <c r="L53" s="6"/>
      <c r="M53" s="6"/>
    </row>
    <row r="54" spans="3:13" x14ac:dyDescent="0.2">
      <c r="L54" s="6"/>
      <c r="M54" s="6"/>
    </row>
    <row r="55" spans="3:13" ht="24.75" customHeight="1" x14ac:dyDescent="0.2">
      <c r="C55" s="19"/>
      <c r="L55" s="6"/>
      <c r="M55" s="6"/>
    </row>
    <row r="56" spans="3:13" ht="22.5" customHeight="1" x14ac:dyDescent="0.2">
      <c r="L56" s="6"/>
      <c r="M56" s="6"/>
    </row>
    <row r="57" spans="3:13" x14ac:dyDescent="0.2">
      <c r="C57" s="5"/>
      <c r="L57" s="6"/>
      <c r="M57" s="6"/>
    </row>
  </sheetData>
  <sheetProtection algorithmName="SHA-512" hashValue="2djV+0SMkb/qMSAn7+aIi66GDgvmusXLj8ljKrfMUUVvfJqyDv2SZbm5OhUHXkyVmvIp8qdFEs6Bs327HUDHTg==" saltValue="nM56Q8FOoyPDPjlgTYYXvA==" spinCount="100000" sheet="1" objects="1" scenarios="1"/>
  <mergeCells count="18">
    <mergeCell ref="C3:G3"/>
    <mergeCell ref="A4:E5"/>
    <mergeCell ref="F4:H4"/>
    <mergeCell ref="F5:H5"/>
    <mergeCell ref="A6:E6"/>
    <mergeCell ref="F6:H7"/>
    <mergeCell ref="A7:E7"/>
    <mergeCell ref="A8:H8"/>
    <mergeCell ref="A9:H9"/>
    <mergeCell ref="B17:B18"/>
    <mergeCell ref="C17:C18"/>
    <mergeCell ref="B26:B27"/>
    <mergeCell ref="C26:C27"/>
    <mergeCell ref="B39:C39"/>
    <mergeCell ref="E40:F40"/>
    <mergeCell ref="B43:D43"/>
    <mergeCell ref="B44:D44"/>
    <mergeCell ref="E45:F45"/>
  </mergeCells>
  <pageMargins left="0.7" right="0.7" top="0.75" bottom="0.75" header="0.3" footer="0.3"/>
  <pageSetup scale="5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36"/>
  <sheetViews>
    <sheetView zoomScaleNormal="100" workbookViewId="0">
      <selection activeCell="F13" sqref="F13"/>
    </sheetView>
  </sheetViews>
  <sheetFormatPr defaultRowHeight="13.5" x14ac:dyDescent="0.2"/>
  <cols>
    <col min="1" max="1" width="3.85546875" style="9" customWidth="1"/>
    <col min="2" max="2" width="10" style="57" customWidth="1"/>
    <col min="3" max="3" width="53.7109375" style="30" customWidth="1"/>
    <col min="4" max="4" width="11.5703125" style="3" customWidth="1"/>
    <col min="5" max="5" width="10.42578125" style="30" customWidth="1"/>
    <col min="6" max="6" width="11.85546875" style="30" customWidth="1"/>
    <col min="7" max="7" width="12.42578125" style="30" customWidth="1"/>
    <col min="8" max="8" width="32" style="30" customWidth="1"/>
    <col min="9" max="9" width="21.42578125" style="57" customWidth="1"/>
    <col min="10" max="10" width="20.85546875" style="6" customWidth="1"/>
    <col min="11" max="16384" width="9.140625" style="30"/>
  </cols>
  <sheetData>
    <row r="2" spans="1:11" x14ac:dyDescent="0.2">
      <c r="B2" s="30"/>
      <c r="H2" s="17" t="s">
        <v>164</v>
      </c>
      <c r="J2" s="30"/>
    </row>
    <row r="3" spans="1:11" x14ac:dyDescent="0.2">
      <c r="B3" s="30"/>
      <c r="C3" s="105" t="s">
        <v>152</v>
      </c>
      <c r="D3" s="105"/>
      <c r="E3" s="105"/>
      <c r="F3" s="105"/>
      <c r="G3" s="105"/>
      <c r="J3" s="30"/>
    </row>
    <row r="4" spans="1:11" x14ac:dyDescent="0.2">
      <c r="A4" s="106" t="s">
        <v>165</v>
      </c>
      <c r="B4" s="107"/>
      <c r="C4" s="107"/>
      <c r="D4" s="107"/>
      <c r="E4" s="108"/>
      <c r="F4" s="112" t="s">
        <v>7</v>
      </c>
      <c r="G4" s="113"/>
      <c r="H4" s="114"/>
      <c r="J4" s="30"/>
    </row>
    <row r="5" spans="1:11" x14ac:dyDescent="0.2">
      <c r="A5" s="109"/>
      <c r="B5" s="110"/>
      <c r="C5" s="110"/>
      <c r="D5" s="110"/>
      <c r="E5" s="111"/>
      <c r="F5" s="115">
        <v>204578581</v>
      </c>
      <c r="G5" s="116"/>
      <c r="H5" s="117"/>
      <c r="J5" s="30"/>
    </row>
    <row r="6" spans="1:11" x14ac:dyDescent="0.2">
      <c r="A6" s="106" t="s">
        <v>8</v>
      </c>
      <c r="B6" s="107"/>
      <c r="C6" s="107"/>
      <c r="D6" s="107"/>
      <c r="E6" s="108"/>
      <c r="F6" s="106" t="s">
        <v>166</v>
      </c>
      <c r="G6" s="118"/>
      <c r="H6" s="119"/>
      <c r="I6" s="81"/>
      <c r="J6" s="30"/>
    </row>
    <row r="7" spans="1:11" ht="37.5" customHeight="1" x14ac:dyDescent="0.2">
      <c r="A7" s="115" t="s">
        <v>21</v>
      </c>
      <c r="B7" s="116"/>
      <c r="C7" s="116"/>
      <c r="D7" s="116"/>
      <c r="E7" s="117"/>
      <c r="F7" s="120"/>
      <c r="G7" s="121"/>
      <c r="H7" s="122"/>
      <c r="J7" s="30"/>
    </row>
    <row r="8" spans="1:11" x14ac:dyDescent="0.2">
      <c r="A8" s="106" t="s">
        <v>15</v>
      </c>
      <c r="B8" s="107"/>
      <c r="C8" s="107"/>
      <c r="D8" s="107"/>
      <c r="E8" s="107"/>
      <c r="F8" s="107"/>
      <c r="G8" s="107"/>
      <c r="H8" s="108"/>
      <c r="J8" s="30"/>
    </row>
    <row r="9" spans="1:11" s="57" customFormat="1" x14ac:dyDescent="0.2">
      <c r="A9" s="140">
        <f>167700-94124.4</f>
        <v>73575.600000000006</v>
      </c>
      <c r="B9" s="141"/>
      <c r="C9" s="141"/>
      <c r="D9" s="141"/>
      <c r="E9" s="141"/>
      <c r="F9" s="141"/>
      <c r="G9" s="141"/>
      <c r="H9" s="141"/>
      <c r="J9" s="6"/>
    </row>
    <row r="10" spans="1:11" s="57" customFormat="1" ht="63.75" x14ac:dyDescent="0.2">
      <c r="A10" s="53" t="s">
        <v>1</v>
      </c>
      <c r="B10" s="53" t="s">
        <v>2</v>
      </c>
      <c r="C10" s="53" t="s">
        <v>3</v>
      </c>
      <c r="D10" s="18" t="s">
        <v>38</v>
      </c>
      <c r="E10" s="53" t="s">
        <v>4</v>
      </c>
      <c r="F10" s="53" t="s">
        <v>5</v>
      </c>
      <c r="G10" s="53" t="s">
        <v>6</v>
      </c>
      <c r="H10" s="53" t="s">
        <v>0</v>
      </c>
      <c r="J10" s="6"/>
    </row>
    <row r="11" spans="1:11" s="57" customFormat="1" ht="12.75" x14ac:dyDescent="0.2">
      <c r="A11" s="53">
        <v>1</v>
      </c>
      <c r="B11" s="53">
        <v>2</v>
      </c>
      <c r="C11" s="53">
        <v>3</v>
      </c>
      <c r="D11" s="83">
        <v>4</v>
      </c>
      <c r="E11" s="53">
        <v>5</v>
      </c>
      <c r="F11" s="53">
        <v>6</v>
      </c>
      <c r="G11" s="53">
        <v>7</v>
      </c>
      <c r="H11" s="53">
        <v>8</v>
      </c>
      <c r="J11" s="6"/>
    </row>
    <row r="12" spans="1:11" s="2" customFormat="1" x14ac:dyDescent="0.2">
      <c r="A12" s="53">
        <v>1</v>
      </c>
      <c r="B12" s="35" t="s">
        <v>34</v>
      </c>
      <c r="C12" s="53" t="s">
        <v>35</v>
      </c>
      <c r="D12" s="83">
        <f>30000+8025</f>
        <v>38025</v>
      </c>
      <c r="E12" s="53" t="s">
        <v>14</v>
      </c>
      <c r="F12" s="35" t="s">
        <v>12</v>
      </c>
      <c r="G12" s="35" t="s">
        <v>24</v>
      </c>
      <c r="H12" s="36"/>
      <c r="I12" s="31"/>
      <c r="J12" s="27"/>
    </row>
    <row r="13" spans="1:11" x14ac:dyDescent="0.2">
      <c r="A13" s="53">
        <v>2</v>
      </c>
      <c r="B13" s="44" t="s">
        <v>49</v>
      </c>
      <c r="C13" s="53" t="s">
        <v>50</v>
      </c>
      <c r="D13" s="83">
        <v>1000</v>
      </c>
      <c r="E13" s="53" t="s">
        <v>10</v>
      </c>
      <c r="F13" s="35" t="s">
        <v>12</v>
      </c>
      <c r="G13" s="35" t="s">
        <v>24</v>
      </c>
      <c r="H13" s="36"/>
      <c r="I13" s="7"/>
      <c r="J13" s="7"/>
    </row>
    <row r="14" spans="1:11" x14ac:dyDescent="0.2">
      <c r="A14" s="53">
        <v>3</v>
      </c>
      <c r="B14" s="53">
        <v>42600000</v>
      </c>
      <c r="C14" s="53" t="s">
        <v>107</v>
      </c>
      <c r="D14" s="83">
        <v>2000</v>
      </c>
      <c r="E14" s="53" t="s">
        <v>10</v>
      </c>
      <c r="F14" s="35" t="s">
        <v>12</v>
      </c>
      <c r="G14" s="35" t="s">
        <v>24</v>
      </c>
      <c r="H14" s="36"/>
      <c r="I14" s="31"/>
    </row>
    <row r="15" spans="1:11" ht="25.5" x14ac:dyDescent="0.2">
      <c r="A15" s="53">
        <v>4</v>
      </c>
      <c r="B15" s="53">
        <v>45200000</v>
      </c>
      <c r="C15" s="53" t="s">
        <v>65</v>
      </c>
      <c r="D15" s="87">
        <f>118975-94124.4</f>
        <v>24850.600000000006</v>
      </c>
      <c r="E15" s="53" t="s">
        <v>25</v>
      </c>
      <c r="F15" s="35" t="s">
        <v>12</v>
      </c>
      <c r="G15" s="35" t="s">
        <v>24</v>
      </c>
      <c r="H15" s="36"/>
      <c r="I15" s="23"/>
      <c r="J15" s="23"/>
      <c r="K15" s="7"/>
    </row>
    <row r="16" spans="1:11" ht="38.25" x14ac:dyDescent="0.2">
      <c r="A16" s="53">
        <v>5</v>
      </c>
      <c r="B16" s="53">
        <v>50100000</v>
      </c>
      <c r="C16" s="53" t="s">
        <v>23</v>
      </c>
      <c r="D16" s="84">
        <v>7700</v>
      </c>
      <c r="E16" s="53" t="s">
        <v>25</v>
      </c>
      <c r="F16" s="35" t="s">
        <v>12</v>
      </c>
      <c r="G16" s="35" t="s">
        <v>24</v>
      </c>
      <c r="H16" s="36"/>
      <c r="I16" s="82"/>
      <c r="J16" s="19"/>
    </row>
    <row r="17" spans="2:15" x14ac:dyDescent="0.2">
      <c r="D17" s="32"/>
    </row>
    <row r="18" spans="2:15" x14ac:dyDescent="0.2">
      <c r="B18" s="100" t="s">
        <v>163</v>
      </c>
      <c r="C18" s="100"/>
      <c r="J18" s="30"/>
    </row>
    <row r="19" spans="2:15" x14ac:dyDescent="0.2">
      <c r="B19" s="30"/>
      <c r="D19" s="4"/>
      <c r="E19" s="95" t="s">
        <v>9</v>
      </c>
      <c r="F19" s="95"/>
      <c r="J19" s="30"/>
    </row>
    <row r="20" spans="2:15" x14ac:dyDescent="0.2">
      <c r="B20" s="30"/>
      <c r="J20" s="30"/>
    </row>
    <row r="21" spans="2:15" x14ac:dyDescent="0.2">
      <c r="B21" s="30"/>
      <c r="J21" s="30"/>
    </row>
    <row r="22" spans="2:15" x14ac:dyDescent="0.2">
      <c r="B22" s="125"/>
      <c r="C22" s="125"/>
      <c r="D22" s="125"/>
      <c r="J22" s="30"/>
    </row>
    <row r="23" spans="2:15" x14ac:dyDescent="0.2">
      <c r="B23" s="100" t="s">
        <v>20</v>
      </c>
      <c r="C23" s="100"/>
      <c r="D23" s="100"/>
      <c r="J23" s="30"/>
    </row>
    <row r="24" spans="2:15" x14ac:dyDescent="0.2">
      <c r="B24" s="30"/>
      <c r="E24" s="95" t="s">
        <v>9</v>
      </c>
      <c r="F24" s="95"/>
      <c r="J24" s="30"/>
    </row>
    <row r="29" spans="2:15" x14ac:dyDescent="0.2">
      <c r="J29" s="30"/>
      <c r="N29" s="6"/>
      <c r="O29" s="6"/>
    </row>
    <row r="30" spans="2:15" x14ac:dyDescent="0.2">
      <c r="C30" s="65"/>
      <c r="J30" s="30"/>
      <c r="N30" s="6"/>
      <c r="O30" s="6"/>
    </row>
    <row r="31" spans="2:15" x14ac:dyDescent="0.2">
      <c r="C31" s="79"/>
      <c r="E31" s="59"/>
      <c r="J31" s="30"/>
      <c r="N31" s="6"/>
      <c r="O31" s="6"/>
    </row>
    <row r="32" spans="2:15" x14ac:dyDescent="0.2">
      <c r="C32" s="80"/>
      <c r="J32" s="30"/>
      <c r="N32" s="6"/>
      <c r="O32" s="6"/>
    </row>
    <row r="33" spans="3:15" x14ac:dyDescent="0.2">
      <c r="J33" s="30"/>
      <c r="N33" s="6"/>
      <c r="O33" s="6"/>
    </row>
    <row r="34" spans="3:15" x14ac:dyDescent="0.2">
      <c r="C34" s="19"/>
      <c r="J34" s="30"/>
      <c r="N34" s="6"/>
      <c r="O34" s="6"/>
    </row>
    <row r="35" spans="3:15" x14ac:dyDescent="0.2">
      <c r="J35" s="30"/>
      <c r="N35" s="6"/>
      <c r="O35" s="6"/>
    </row>
    <row r="36" spans="3:15" x14ac:dyDescent="0.2">
      <c r="C36" s="5"/>
      <c r="J36" s="30"/>
      <c r="N36" s="6"/>
      <c r="O36" s="6"/>
    </row>
  </sheetData>
  <sheetProtection algorithmName="SHA-512" hashValue="Pls1hYQ3DhvZcKXPx5JTMyC8Ks2RSyyU7ENzuwglX4BZvPgtFEVRURy435cpMFHAA9V+e8hJIp49OWkZe+0/RQ==" saltValue="6kYswY1pgifdGMoeN0U1DQ==" spinCount="100000" sheet="1" objects="1" scenarios="1"/>
  <mergeCells count="14">
    <mergeCell ref="C3:G3"/>
    <mergeCell ref="A4:E5"/>
    <mergeCell ref="F4:H4"/>
    <mergeCell ref="F5:H5"/>
    <mergeCell ref="A6:E6"/>
    <mergeCell ref="F6:H7"/>
    <mergeCell ref="A7:E7"/>
    <mergeCell ref="E24:F24"/>
    <mergeCell ref="A8:H8"/>
    <mergeCell ref="A9:H9"/>
    <mergeCell ref="B18:C18"/>
    <mergeCell ref="E19:F19"/>
    <mergeCell ref="B22:D22"/>
    <mergeCell ref="B23:D23"/>
  </mergeCells>
  <pageMargins left="0.7" right="0.7" top="0.75" bottom="0.75" header="0.3" footer="0.3"/>
  <pageSetup scale="63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ბიუჯეტი</vt:lpstr>
      <vt:lpstr>საკუთარი</vt:lpstr>
      <vt:lpstr>გრანტი</vt:lpstr>
      <vt:lpstr>გრანტი (BTC Co)</vt:lpstr>
      <vt:lpstr>ბიუჯეტი!Print_Area</vt:lpstr>
      <vt:lpstr>'გრანტი (BTC Co)'!Print_Area</vt:lpstr>
      <vt:lpstr>საკუთარი!Print_Area</vt:lpstr>
    </vt:vector>
  </TitlesOfParts>
  <Company>SPD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GOCHA NADIRADZE</dc:creator>
  <cp:lastModifiedBy>Tamta Iashvili</cp:lastModifiedBy>
  <cp:lastPrinted>2023-09-25T11:32:00Z</cp:lastPrinted>
  <dcterms:created xsi:type="dcterms:W3CDTF">2001-03-27T09:30:29Z</dcterms:created>
  <dcterms:modified xsi:type="dcterms:W3CDTF">2024-02-21T07:28:17Z</dcterms:modified>
</cp:coreProperties>
</file>